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\\192.168.0.38\Financeiro\PASTA FINANCEIRO\FOLHA DE PAGAMENTO\Folha de Pagamento 2023\01-2023\"/>
    </mc:Choice>
  </mc:AlternateContent>
  <xr:revisionPtr revIDLastSave="0" documentId="8_{0E4C3292-5A2D-44F5-9707-A4BE0353F39E}" xr6:coauthVersionLast="47" xr6:coauthVersionMax="47" xr10:uidLastSave="{00000000-0000-0000-0000-000000000000}"/>
  <bookViews>
    <workbookView xWindow="-120" yWindow="-120" windowWidth="29040" windowHeight="15840" tabRatio="837" firstSheet="15" activeTab="15" xr2:uid="{00000000-000D-0000-FFFF-FFFF00000000}"/>
  </bookViews>
  <sheets>
    <sheet name="MAIO 2019" sheetId="2" state="hidden" r:id="rId1"/>
    <sheet name="JUNHO 2019" sheetId="3" state="hidden" r:id="rId2"/>
    <sheet name="AGOSTO 2019" sheetId="4" state="hidden" r:id="rId3"/>
    <sheet name="SETEMBRO 2019" sheetId="5" state="hidden" r:id="rId4"/>
    <sheet name="OUTUBRO 2019" sheetId="6" state="hidden" r:id="rId5"/>
    <sheet name="NOVEMBRO 2019" sheetId="7" state="hidden" r:id="rId6"/>
    <sheet name="JANEIRO 2022" sheetId="19" state="hidden" r:id="rId7"/>
    <sheet name="FEVEREIRO 2022" sheetId="20" state="hidden" r:id="rId8"/>
    <sheet name="MARÇO 2022" sheetId="21" state="hidden" r:id="rId9"/>
    <sheet name="ABRIL 2022" sheetId="22" state="hidden" r:id="rId10"/>
    <sheet name="MAIO 2022" sheetId="23" state="hidden" r:id="rId11"/>
    <sheet name="JUNHO 2022" sheetId="24" state="hidden" r:id="rId12"/>
    <sheet name="JULHO 2022" sheetId="25" state="hidden" r:id="rId13"/>
    <sheet name="AGOSTO 2022" sheetId="26" state="hidden" r:id="rId14"/>
    <sheet name="SETEMBRO 2022 " sheetId="27" state="hidden" r:id="rId15"/>
    <sheet name="JANEIRO 2023" sheetId="28" r:id="rId16"/>
  </sheets>
  <definedNames>
    <definedName name="_xlnm.Print_Area" localSheetId="13">'AGOSTO 2022'!$A$1:$M$102</definedName>
    <definedName name="_xlnm.Print_Area" localSheetId="15">'JANEIRO 2023'!$A$1:$N$110</definedName>
    <definedName name="_xlnm.Print_Area" localSheetId="12">'JULHO 2022'!$A$1:$L$111</definedName>
    <definedName name="_xlnm.Print_Area" localSheetId="14">'SETEMBRO 2022 '!$A$1:$M$108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2" i="28" l="1"/>
  <c r="E102" i="28"/>
  <c r="J24" i="28"/>
  <c r="E24" i="28"/>
  <c r="K15" i="28"/>
  <c r="J15" i="28"/>
  <c r="E15" i="28"/>
  <c r="L73" i="28"/>
  <c r="M110" i="28"/>
  <c r="I110" i="28"/>
  <c r="L106" i="28"/>
  <c r="L102" i="28"/>
  <c r="L86" i="28"/>
  <c r="L81" i="28"/>
  <c r="L78" i="28"/>
  <c r="L70" i="28"/>
  <c r="L67" i="28"/>
  <c r="L64" i="28"/>
  <c r="L61" i="28"/>
  <c r="L58" i="28"/>
  <c r="L45" i="28"/>
  <c r="L42" i="28"/>
  <c r="L39" i="28"/>
  <c r="L36" i="28"/>
  <c r="L33" i="28"/>
  <c r="L30" i="28"/>
  <c r="B30" i="28"/>
  <c r="L27" i="28"/>
  <c r="L24" i="28"/>
  <c r="L21" i="28"/>
  <c r="L18" i="28"/>
  <c r="L15" i="28"/>
  <c r="L12" i="28"/>
  <c r="L9" i="28"/>
  <c r="M18" i="28"/>
  <c r="N110" i="28" l="1"/>
  <c r="I12" i="28"/>
  <c r="I15" i="28"/>
  <c r="M36" i="28"/>
  <c r="M33" i="28"/>
  <c r="M24" i="28"/>
  <c r="M21" i="28"/>
  <c r="M12" i="28"/>
  <c r="M30" i="28"/>
  <c r="M9" i="28"/>
  <c r="I9" i="28"/>
  <c r="M15" i="28" l="1"/>
  <c r="M39" i="28"/>
  <c r="M27" i="28"/>
  <c r="M106" i="28"/>
  <c r="M73" i="28"/>
  <c r="M67" i="28"/>
  <c r="M64" i="28"/>
  <c r="M45" i="28"/>
  <c r="M42" i="28"/>
  <c r="M102" i="28"/>
  <c r="M86" i="28"/>
  <c r="M81" i="28"/>
  <c r="M70" i="28"/>
  <c r="M61" i="28"/>
  <c r="M58" i="28"/>
  <c r="I106" i="28"/>
  <c r="I102" i="28"/>
  <c r="I86" i="28"/>
  <c r="I81" i="28"/>
  <c r="I78" i="28"/>
  <c r="I73" i="28"/>
  <c r="I70" i="28"/>
  <c r="I67" i="28"/>
  <c r="I64" i="28"/>
  <c r="I61" i="28"/>
  <c r="I58" i="28"/>
  <c r="I45" i="28"/>
  <c r="I42" i="28"/>
  <c r="I39" i="28"/>
  <c r="I36" i="28"/>
  <c r="I33" i="28"/>
  <c r="I30" i="28"/>
  <c r="I27" i="28"/>
  <c r="I24" i="28"/>
  <c r="I21" i="28"/>
  <c r="I18" i="28"/>
  <c r="K107" i="27"/>
  <c r="I107" i="27"/>
  <c r="D107" i="27"/>
  <c r="C107" i="27"/>
  <c r="H67" i="27"/>
  <c r="C67" i="27"/>
  <c r="H39" i="27"/>
  <c r="C39" i="27"/>
  <c r="H30" i="27"/>
  <c r="C30" i="27"/>
  <c r="J48" i="27"/>
  <c r="J97" i="27"/>
  <c r="J94" i="27"/>
  <c r="J84" i="27"/>
  <c r="J80" i="27"/>
  <c r="J77" i="27"/>
  <c r="J73" i="27"/>
  <c r="J70" i="27"/>
  <c r="J67" i="27"/>
  <c r="J64" i="27"/>
  <c r="J61" i="27"/>
  <c r="J58" i="27"/>
  <c r="J45" i="27"/>
  <c r="J42" i="27"/>
  <c r="J39" i="27"/>
  <c r="J36" i="27"/>
  <c r="J33" i="27"/>
  <c r="B33" i="27"/>
  <c r="J27" i="27"/>
  <c r="J21" i="27"/>
  <c r="J18" i="27"/>
  <c r="J15" i="27"/>
  <c r="J12" i="27"/>
  <c r="J9" i="27"/>
  <c r="L107" i="27"/>
  <c r="H107" i="27"/>
  <c r="M107" i="27" s="1"/>
  <c r="K97" i="27"/>
  <c r="G97" i="27"/>
  <c r="L97" i="27" s="1"/>
  <c r="K94" i="27"/>
  <c r="G94" i="27"/>
  <c r="L94" i="27" s="1"/>
  <c r="K84" i="27"/>
  <c r="G84" i="27"/>
  <c r="L84" i="27" s="1"/>
  <c r="K80" i="27"/>
  <c r="G80" i="27"/>
  <c r="L80" i="27" s="1"/>
  <c r="K77" i="27"/>
  <c r="G77" i="27"/>
  <c r="L77" i="27" s="1"/>
  <c r="K48" i="27"/>
  <c r="G48" i="27"/>
  <c r="L48" i="27" s="1"/>
  <c r="K73" i="27"/>
  <c r="G73" i="27"/>
  <c r="L73" i="27" s="1"/>
  <c r="K70" i="27"/>
  <c r="G70" i="27"/>
  <c r="L70" i="27" s="1"/>
  <c r="K67" i="27"/>
  <c r="G67" i="27"/>
  <c r="L67" i="27" s="1"/>
  <c r="K64" i="27"/>
  <c r="G64" i="27"/>
  <c r="L64" i="27" s="1"/>
  <c r="K61" i="27"/>
  <c r="G61" i="27"/>
  <c r="L61" i="27" s="1"/>
  <c r="K58" i="27"/>
  <c r="G58" i="27"/>
  <c r="L58" i="27" s="1"/>
  <c r="K45" i="27"/>
  <c r="G45" i="27"/>
  <c r="L45" i="27" s="1"/>
  <c r="K42" i="27"/>
  <c r="G42" i="27"/>
  <c r="L42" i="27" s="1"/>
  <c r="K39" i="27"/>
  <c r="G39" i="27"/>
  <c r="L39" i="27" s="1"/>
  <c r="K36" i="27"/>
  <c r="G36" i="27"/>
  <c r="L36" i="27" s="1"/>
  <c r="K33" i="27"/>
  <c r="G33" i="27"/>
  <c r="L33" i="27" s="1"/>
  <c r="J30" i="27"/>
  <c r="K30" i="27" s="1"/>
  <c r="G30" i="27"/>
  <c r="L30" i="27" s="1"/>
  <c r="K27" i="27"/>
  <c r="G27" i="27"/>
  <c r="L27" i="27" s="1"/>
  <c r="J24" i="27"/>
  <c r="K24" i="27" s="1"/>
  <c r="G24" i="27"/>
  <c r="L24" i="27" s="1"/>
  <c r="K21" i="27"/>
  <c r="G21" i="27"/>
  <c r="L21" i="27" s="1"/>
  <c r="K18" i="27"/>
  <c r="G18" i="27"/>
  <c r="L18" i="27" s="1"/>
  <c r="K15" i="27"/>
  <c r="G15" i="27"/>
  <c r="L15" i="27" s="1"/>
  <c r="K12" i="27"/>
  <c r="G12" i="27"/>
  <c r="L12" i="27" s="1"/>
  <c r="K9" i="27"/>
  <c r="G9" i="27"/>
  <c r="L9" i="27" s="1"/>
  <c r="H58" i="26"/>
  <c r="C58" i="26"/>
  <c r="H21" i="26"/>
  <c r="H9" i="26"/>
  <c r="J33" i="26"/>
  <c r="J101" i="26"/>
  <c r="J97" i="26"/>
  <c r="J94" i="26"/>
  <c r="J84" i="26"/>
  <c r="J80" i="26"/>
  <c r="J77" i="26"/>
  <c r="J70" i="26"/>
  <c r="J67" i="26"/>
  <c r="J64" i="26"/>
  <c r="J61" i="26"/>
  <c r="J58" i="26"/>
  <c r="J55" i="26"/>
  <c r="J73" i="26"/>
  <c r="J45" i="26"/>
  <c r="J42" i="26"/>
  <c r="J39" i="26"/>
  <c r="J36" i="26"/>
  <c r="J30" i="26"/>
  <c r="J27" i="26"/>
  <c r="J24" i="26"/>
  <c r="J21" i="26"/>
  <c r="J18" i="26"/>
  <c r="J15" i="26"/>
  <c r="J12" i="26"/>
  <c r="J9" i="26"/>
  <c r="M78" i="28" l="1"/>
  <c r="N78" i="28" s="1"/>
  <c r="N21" i="28"/>
  <c r="N86" i="28"/>
  <c r="N106" i="28"/>
  <c r="N12" i="28"/>
  <c r="N18" i="28"/>
  <c r="N81" i="28"/>
  <c r="N61" i="28"/>
  <c r="N70" i="28"/>
  <c r="N33" i="28"/>
  <c r="N24" i="28"/>
  <c r="N42" i="28"/>
  <c r="N73" i="28"/>
  <c r="N102" i="28"/>
  <c r="N15" i="28"/>
  <c r="N58" i="28"/>
  <c r="N64" i="28"/>
  <c r="N45" i="28"/>
  <c r="N39" i="28"/>
  <c r="N27" i="28"/>
  <c r="N30" i="28"/>
  <c r="N36" i="28"/>
  <c r="N67" i="28"/>
  <c r="K101" i="26"/>
  <c r="G101" i="26"/>
  <c r="K97" i="26"/>
  <c r="G97" i="26"/>
  <c r="K94" i="26"/>
  <c r="G94" i="26"/>
  <c r="K84" i="26"/>
  <c r="G84" i="26"/>
  <c r="K80" i="26"/>
  <c r="G80" i="26"/>
  <c r="K77" i="26"/>
  <c r="G77" i="26"/>
  <c r="K73" i="26"/>
  <c r="G73" i="26"/>
  <c r="K70" i="26"/>
  <c r="G70" i="26"/>
  <c r="K67" i="26"/>
  <c r="G67" i="26"/>
  <c r="K64" i="26"/>
  <c r="G64" i="26"/>
  <c r="K61" i="26"/>
  <c r="G61" i="26"/>
  <c r="K58" i="26"/>
  <c r="G58" i="26"/>
  <c r="K55" i="26"/>
  <c r="G55" i="26"/>
  <c r="K45" i="26"/>
  <c r="G45" i="26"/>
  <c r="L45" i="26" s="1"/>
  <c r="K42" i="26"/>
  <c r="G42" i="26"/>
  <c r="K39" i="26"/>
  <c r="G39" i="26"/>
  <c r="K36" i="26"/>
  <c r="G36" i="26"/>
  <c r="K33" i="26"/>
  <c r="G33" i="26"/>
  <c r="K30" i="26"/>
  <c r="G30" i="26"/>
  <c r="K27" i="26"/>
  <c r="G27" i="26"/>
  <c r="K24" i="26"/>
  <c r="G24" i="26"/>
  <c r="K21" i="26"/>
  <c r="G21" i="26"/>
  <c r="K18" i="26"/>
  <c r="G18" i="26"/>
  <c r="K15" i="26"/>
  <c r="G15" i="26"/>
  <c r="K12" i="26"/>
  <c r="G12" i="26"/>
  <c r="K9" i="26"/>
  <c r="G9" i="26"/>
  <c r="J111" i="25"/>
  <c r="H111" i="25"/>
  <c r="K111" i="25" s="1"/>
  <c r="C111" i="25"/>
  <c r="B111" i="25"/>
  <c r="G111" i="25" s="1"/>
  <c r="K99" i="25"/>
  <c r="G99" i="25"/>
  <c r="L99" i="25" s="1"/>
  <c r="J95" i="25"/>
  <c r="K95" i="25" s="1"/>
  <c r="J92" i="25"/>
  <c r="K92" i="25" s="1"/>
  <c r="J83" i="25"/>
  <c r="J79" i="25"/>
  <c r="J76" i="25"/>
  <c r="K76" i="25" s="1"/>
  <c r="J69" i="25"/>
  <c r="K69" i="25" s="1"/>
  <c r="J72" i="25"/>
  <c r="K72" i="25" s="1"/>
  <c r="J66" i="25"/>
  <c r="J63" i="25"/>
  <c r="K63" i="25" s="1"/>
  <c r="J60" i="25"/>
  <c r="K60" i="25" s="1"/>
  <c r="J57" i="25"/>
  <c r="J54" i="25"/>
  <c r="J45" i="25"/>
  <c r="K45" i="25" s="1"/>
  <c r="J42" i="25"/>
  <c r="K42" i="25" s="1"/>
  <c r="J39" i="25"/>
  <c r="K39" i="25" s="1"/>
  <c r="J36" i="25"/>
  <c r="J33" i="25"/>
  <c r="K33" i="25" s="1"/>
  <c r="J30" i="25"/>
  <c r="K30" i="25" s="1"/>
  <c r="J27" i="25"/>
  <c r="J24" i="25"/>
  <c r="J21" i="25"/>
  <c r="K21" i="25" s="1"/>
  <c r="J18" i="25"/>
  <c r="K18" i="25" s="1"/>
  <c r="J15" i="25"/>
  <c r="K15" i="25" s="1"/>
  <c r="J12" i="25"/>
  <c r="J9" i="25"/>
  <c r="K9" i="25" s="1"/>
  <c r="G95" i="25"/>
  <c r="G92" i="25"/>
  <c r="K83" i="25"/>
  <c r="G83" i="25"/>
  <c r="K79" i="25"/>
  <c r="G79" i="25"/>
  <c r="G76" i="25"/>
  <c r="G72" i="25"/>
  <c r="G69" i="25"/>
  <c r="K66" i="25"/>
  <c r="G66" i="25"/>
  <c r="G63" i="25"/>
  <c r="G60" i="25"/>
  <c r="K57" i="25"/>
  <c r="G57" i="25"/>
  <c r="K54" i="25"/>
  <c r="G54" i="25"/>
  <c r="L54" i="25" s="1"/>
  <c r="G45" i="25"/>
  <c r="G42" i="25"/>
  <c r="G39" i="25"/>
  <c r="K36" i="25"/>
  <c r="G36" i="25"/>
  <c r="G33" i="25"/>
  <c r="G30" i="25"/>
  <c r="K27" i="25"/>
  <c r="G27" i="25"/>
  <c r="K24" i="25"/>
  <c r="G24" i="25"/>
  <c r="G21" i="25"/>
  <c r="G18" i="25"/>
  <c r="G15" i="25"/>
  <c r="K12" i="25"/>
  <c r="G12" i="25"/>
  <c r="G9" i="25"/>
  <c r="J111" i="24"/>
  <c r="H111" i="24"/>
  <c r="K111" i="24" s="1"/>
  <c r="C111" i="24"/>
  <c r="B111" i="24"/>
  <c r="H87" i="24"/>
  <c r="C87" i="24"/>
  <c r="H83" i="24"/>
  <c r="H76" i="24"/>
  <c r="H54" i="24"/>
  <c r="C54" i="24"/>
  <c r="G54" i="24" s="1"/>
  <c r="H39" i="24"/>
  <c r="H27" i="24"/>
  <c r="I12" i="24"/>
  <c r="H12" i="24"/>
  <c r="C12" i="24"/>
  <c r="G12" i="24" s="1"/>
  <c r="J9" i="24"/>
  <c r="K94" i="24"/>
  <c r="G94" i="24"/>
  <c r="L94" i="24" s="1"/>
  <c r="J98" i="24"/>
  <c r="J91" i="24"/>
  <c r="J87" i="24"/>
  <c r="J83" i="24"/>
  <c r="G83" i="24"/>
  <c r="J76" i="24"/>
  <c r="J73" i="24"/>
  <c r="J70" i="24"/>
  <c r="J67" i="24"/>
  <c r="K67" i="24" s="1"/>
  <c r="J54" i="24"/>
  <c r="J51" i="24"/>
  <c r="J48" i="24"/>
  <c r="J44" i="24"/>
  <c r="K44" i="24" s="1"/>
  <c r="J42" i="24"/>
  <c r="J39" i="24"/>
  <c r="J36" i="24"/>
  <c r="J33" i="24"/>
  <c r="K33" i="24" s="1"/>
  <c r="J30" i="24"/>
  <c r="J27" i="24"/>
  <c r="J24" i="24"/>
  <c r="J21" i="24"/>
  <c r="K21" i="24" s="1"/>
  <c r="J18" i="24"/>
  <c r="J15" i="24"/>
  <c r="J12" i="24"/>
  <c r="K98" i="24"/>
  <c r="G98" i="24"/>
  <c r="K91" i="24"/>
  <c r="G91" i="24"/>
  <c r="K87" i="24"/>
  <c r="G87" i="24"/>
  <c r="L87" i="24" s="1"/>
  <c r="K83" i="24"/>
  <c r="J80" i="24"/>
  <c r="K80" i="24" s="1"/>
  <c r="G80" i="24"/>
  <c r="L80" i="24" s="1"/>
  <c r="K76" i="24"/>
  <c r="G76" i="24"/>
  <c r="K73" i="24"/>
  <c r="G73" i="24"/>
  <c r="L73" i="24" s="1"/>
  <c r="K70" i="24"/>
  <c r="G70" i="24"/>
  <c r="G67" i="24"/>
  <c r="K54" i="24"/>
  <c r="K51" i="24"/>
  <c r="G51" i="24"/>
  <c r="L51" i="24" s="1"/>
  <c r="K48" i="24"/>
  <c r="G48" i="24"/>
  <c r="G44" i="24"/>
  <c r="K42" i="24"/>
  <c r="G42" i="24"/>
  <c r="G39" i="24"/>
  <c r="K36" i="24"/>
  <c r="G36" i="24"/>
  <c r="G33" i="24"/>
  <c r="K30" i="24"/>
  <c r="G30" i="24"/>
  <c r="K27" i="24"/>
  <c r="G27" i="24"/>
  <c r="L27" i="24" s="1"/>
  <c r="K24" i="24"/>
  <c r="G24" i="24"/>
  <c r="G21" i="24"/>
  <c r="K18" i="24"/>
  <c r="G18" i="24"/>
  <c r="K15" i="24"/>
  <c r="G15" i="24"/>
  <c r="L15" i="24" s="1"/>
  <c r="K12" i="24"/>
  <c r="K9" i="24"/>
  <c r="G9" i="24"/>
  <c r="L9" i="24" s="1"/>
  <c r="J81" i="23"/>
  <c r="H81" i="23"/>
  <c r="C81" i="23"/>
  <c r="H75" i="23"/>
  <c r="C75" i="23"/>
  <c r="G75" i="23" s="1"/>
  <c r="H36" i="23"/>
  <c r="C36" i="23"/>
  <c r="J104" i="23"/>
  <c r="K104" i="23" s="1"/>
  <c r="J100" i="23"/>
  <c r="K100" i="23" s="1"/>
  <c r="J96" i="23"/>
  <c r="J92" i="23"/>
  <c r="K92" i="23" s="1"/>
  <c r="J88" i="23"/>
  <c r="K88" i="23" s="1"/>
  <c r="J85" i="23"/>
  <c r="K85" i="23" s="1"/>
  <c r="K78" i="23"/>
  <c r="G78" i="23"/>
  <c r="J75" i="23"/>
  <c r="J72" i="23"/>
  <c r="K72" i="23" s="1"/>
  <c r="J55" i="23"/>
  <c r="J52" i="23"/>
  <c r="K52" i="23" s="1"/>
  <c r="J49" i="23"/>
  <c r="K49" i="23" s="1"/>
  <c r="J45" i="23"/>
  <c r="K45" i="23" s="1"/>
  <c r="J42" i="23"/>
  <c r="K42" i="23" s="1"/>
  <c r="J39" i="23"/>
  <c r="K39" i="23" s="1"/>
  <c r="J36" i="23"/>
  <c r="J33" i="23"/>
  <c r="K33" i="23" s="1"/>
  <c r="J30" i="23"/>
  <c r="K30" i="23" s="1"/>
  <c r="J27" i="23"/>
  <c r="K27" i="23" s="1"/>
  <c r="J24" i="23"/>
  <c r="J21" i="23"/>
  <c r="K21" i="23" s="1"/>
  <c r="J18" i="23"/>
  <c r="K18" i="23" s="1"/>
  <c r="J15" i="23"/>
  <c r="J12" i="23"/>
  <c r="K12" i="23" s="1"/>
  <c r="J9" i="23"/>
  <c r="K9" i="23" s="1"/>
  <c r="G104" i="23"/>
  <c r="G100" i="23"/>
  <c r="K96" i="23"/>
  <c r="G96" i="23"/>
  <c r="G92" i="23"/>
  <c r="E88" i="23"/>
  <c r="G88" i="23" s="1"/>
  <c r="G85" i="23"/>
  <c r="G81" i="23"/>
  <c r="G72" i="23"/>
  <c r="K55" i="23"/>
  <c r="G55" i="23"/>
  <c r="G52" i="23"/>
  <c r="G49" i="23"/>
  <c r="G45" i="23"/>
  <c r="G42" i="23"/>
  <c r="G39" i="23"/>
  <c r="G36" i="23"/>
  <c r="G33" i="23"/>
  <c r="G30" i="23"/>
  <c r="G27" i="23"/>
  <c r="K24" i="23"/>
  <c r="G24" i="23"/>
  <c r="G21" i="23"/>
  <c r="G18" i="23"/>
  <c r="K15" i="23"/>
  <c r="G15" i="23"/>
  <c r="G12" i="23"/>
  <c r="G9" i="23"/>
  <c r="L83" i="24" l="1"/>
  <c r="L12" i="24"/>
  <c r="K39" i="24"/>
  <c r="L54" i="24"/>
  <c r="G111" i="24"/>
  <c r="L111" i="24" s="1"/>
  <c r="N9" i="28"/>
  <c r="L21" i="26"/>
  <c r="L33" i="26"/>
  <c r="L77" i="26"/>
  <c r="L97" i="26"/>
  <c r="L101" i="26"/>
  <c r="L64" i="26"/>
  <c r="L9" i="26"/>
  <c r="L18" i="26"/>
  <c r="L30" i="26"/>
  <c r="L42" i="26"/>
  <c r="L61" i="26"/>
  <c r="L73" i="26"/>
  <c r="L94" i="26"/>
  <c r="L15" i="26"/>
  <c r="L27" i="26"/>
  <c r="L39" i="26"/>
  <c r="L58" i="26"/>
  <c r="L70" i="26"/>
  <c r="L84" i="26"/>
  <c r="L12" i="26"/>
  <c r="L24" i="26"/>
  <c r="L36" i="26"/>
  <c r="L55" i="26"/>
  <c r="L67" i="26"/>
  <c r="L80" i="26"/>
  <c r="L39" i="24"/>
  <c r="L67" i="24"/>
  <c r="L92" i="25"/>
  <c r="L21" i="24"/>
  <c r="L33" i="24"/>
  <c r="L44" i="24"/>
  <c r="L30" i="25"/>
  <c r="L60" i="25"/>
  <c r="L18" i="24"/>
  <c r="L24" i="24"/>
  <c r="L30" i="24"/>
  <c r="L36" i="24"/>
  <c r="L42" i="24"/>
  <c r="L48" i="24"/>
  <c r="L70" i="24"/>
  <c r="L76" i="24"/>
  <c r="L91" i="24"/>
  <c r="L98" i="24"/>
  <c r="L12" i="25"/>
  <c r="L66" i="25"/>
  <c r="L111" i="25"/>
  <c r="L36" i="25"/>
  <c r="L24" i="25"/>
  <c r="L72" i="25"/>
  <c r="L15" i="25"/>
  <c r="L27" i="25"/>
  <c r="L39" i="25"/>
  <c r="L57" i="25"/>
  <c r="L69" i="25"/>
  <c r="L83" i="25"/>
  <c r="L42" i="25"/>
  <c r="L9" i="25"/>
  <c r="L21" i="25"/>
  <c r="L33" i="25"/>
  <c r="L45" i="25"/>
  <c r="L63" i="25"/>
  <c r="L76" i="25"/>
  <c r="L95" i="25"/>
  <c r="L18" i="25"/>
  <c r="L79" i="25"/>
  <c r="L24" i="23"/>
  <c r="L39" i="23"/>
  <c r="L45" i="23"/>
  <c r="K75" i="23"/>
  <c r="L75" i="23" s="1"/>
  <c r="K81" i="23"/>
  <c r="L81" i="23" s="1"/>
  <c r="K36" i="23"/>
  <c r="L36" i="23" s="1"/>
  <c r="L92" i="23"/>
  <c r="L85" i="23"/>
  <c r="L33" i="23"/>
  <c r="L88" i="23"/>
  <c r="L104" i="23"/>
  <c r="L52" i="23"/>
  <c r="L96" i="23"/>
  <c r="L12" i="23"/>
  <c r="L100" i="23"/>
  <c r="L18" i="23"/>
  <c r="L78" i="23"/>
  <c r="L72" i="23"/>
  <c r="L55" i="23"/>
  <c r="L49" i="23"/>
  <c r="L42" i="23"/>
  <c r="L30" i="23"/>
  <c r="L15" i="23"/>
  <c r="L27" i="23"/>
  <c r="L9" i="23"/>
  <c r="L21" i="23"/>
  <c r="K108" i="21"/>
  <c r="G108" i="21"/>
  <c r="J104" i="21"/>
  <c r="K104" i="21" s="1"/>
  <c r="G104" i="21"/>
  <c r="J100" i="21"/>
  <c r="K100" i="21" s="1"/>
  <c r="G100" i="21"/>
  <c r="J96" i="21"/>
  <c r="K96" i="21" s="1"/>
  <c r="G96" i="21"/>
  <c r="J92" i="21"/>
  <c r="K92" i="21" s="1"/>
  <c r="G92" i="21"/>
  <c r="J88" i="21"/>
  <c r="K88" i="21" s="1"/>
  <c r="E88" i="21"/>
  <c r="G88" i="21" s="1"/>
  <c r="L88" i="21" s="1"/>
  <c r="J85" i="21"/>
  <c r="K85" i="21" s="1"/>
  <c r="G85" i="21"/>
  <c r="J81" i="21"/>
  <c r="K81" i="21" s="1"/>
  <c r="G81" i="21"/>
  <c r="L81" i="21" s="1"/>
  <c r="J78" i="21"/>
  <c r="K78" i="21" s="1"/>
  <c r="G78" i="21"/>
  <c r="J75" i="21"/>
  <c r="K75" i="21" s="1"/>
  <c r="G75" i="21"/>
  <c r="L75" i="21" s="1"/>
  <c r="J58" i="21"/>
  <c r="K58" i="21" s="1"/>
  <c r="G58" i="21"/>
  <c r="J55" i="21"/>
  <c r="K55" i="21" s="1"/>
  <c r="G55" i="21"/>
  <c r="L55" i="21" s="1"/>
  <c r="K52" i="21"/>
  <c r="G52" i="21"/>
  <c r="J48" i="21"/>
  <c r="K48" i="21" s="1"/>
  <c r="G48" i="21"/>
  <c r="J45" i="21"/>
  <c r="H45" i="21"/>
  <c r="C45" i="21"/>
  <c r="G45" i="21" s="1"/>
  <c r="J42" i="21"/>
  <c r="K42" i="21" s="1"/>
  <c r="G42" i="21"/>
  <c r="L42" i="21" s="1"/>
  <c r="J39" i="21"/>
  <c r="K39" i="21" s="1"/>
  <c r="G39" i="21"/>
  <c r="L39" i="21" s="1"/>
  <c r="J36" i="21"/>
  <c r="K36" i="21" s="1"/>
  <c r="G36" i="21"/>
  <c r="L36" i="21" s="1"/>
  <c r="J33" i="21"/>
  <c r="K33" i="21" s="1"/>
  <c r="G33" i="21"/>
  <c r="L33" i="21" s="1"/>
  <c r="J30" i="21"/>
  <c r="K30" i="21" s="1"/>
  <c r="G30" i="21"/>
  <c r="L30" i="21" s="1"/>
  <c r="J27" i="21"/>
  <c r="K27" i="21" s="1"/>
  <c r="G27" i="21"/>
  <c r="L27" i="21" s="1"/>
  <c r="J24" i="21"/>
  <c r="K24" i="21" s="1"/>
  <c r="G24" i="21"/>
  <c r="L24" i="21" s="1"/>
  <c r="J21" i="21"/>
  <c r="K21" i="21" s="1"/>
  <c r="G21" i="21"/>
  <c r="L21" i="21" s="1"/>
  <c r="J18" i="21"/>
  <c r="K18" i="21" s="1"/>
  <c r="G18" i="21"/>
  <c r="L18" i="21" s="1"/>
  <c r="J15" i="21"/>
  <c r="K15" i="21" s="1"/>
  <c r="G15" i="21"/>
  <c r="L15" i="21" s="1"/>
  <c r="J12" i="21"/>
  <c r="K12" i="21" s="1"/>
  <c r="G12" i="21"/>
  <c r="L12" i="21" s="1"/>
  <c r="H9" i="21"/>
  <c r="K9" i="21" s="1"/>
  <c r="C9" i="21"/>
  <c r="B9" i="21"/>
  <c r="G9" i="21" s="1"/>
  <c r="K45" i="21" l="1"/>
  <c r="L45" i="21" s="1"/>
  <c r="L52" i="21"/>
  <c r="L58" i="21"/>
  <c r="L78" i="21"/>
  <c r="L85" i="21"/>
  <c r="L108" i="21"/>
  <c r="L48" i="21"/>
  <c r="L92" i="21"/>
  <c r="L96" i="21"/>
  <c r="L100" i="21"/>
  <c r="L104" i="21"/>
  <c r="L9" i="21"/>
  <c r="J101" i="22" l="1"/>
  <c r="K101" i="22" s="1"/>
  <c r="J97" i="22"/>
  <c r="K97" i="22" s="1"/>
  <c r="J93" i="22"/>
  <c r="K93" i="22" s="1"/>
  <c r="J89" i="22"/>
  <c r="K89" i="22" s="1"/>
  <c r="J85" i="22"/>
  <c r="J82" i="22"/>
  <c r="K82" i="22" s="1"/>
  <c r="G101" i="22"/>
  <c r="G97" i="22"/>
  <c r="G93" i="22"/>
  <c r="G89" i="22"/>
  <c r="K85" i="22"/>
  <c r="E85" i="22"/>
  <c r="G85" i="22" s="1"/>
  <c r="G82" i="22"/>
  <c r="J78" i="22"/>
  <c r="K78" i="22" s="1"/>
  <c r="G78" i="22"/>
  <c r="J75" i="22"/>
  <c r="H75" i="22"/>
  <c r="C75" i="22"/>
  <c r="G75" i="22" s="1"/>
  <c r="J72" i="22"/>
  <c r="H72" i="22"/>
  <c r="K72" i="22" s="1"/>
  <c r="C72" i="22"/>
  <c r="G72" i="22" s="1"/>
  <c r="J55" i="22"/>
  <c r="H55" i="22"/>
  <c r="C55" i="22"/>
  <c r="G55" i="22" s="1"/>
  <c r="J52" i="22"/>
  <c r="K52" i="22" s="1"/>
  <c r="G52" i="22"/>
  <c r="J49" i="22"/>
  <c r="K49" i="22" s="1"/>
  <c r="G49" i="22"/>
  <c r="J45" i="22"/>
  <c r="K45" i="22" s="1"/>
  <c r="G45" i="22"/>
  <c r="J42" i="22"/>
  <c r="K42" i="22" s="1"/>
  <c r="G42" i="22"/>
  <c r="J39" i="22"/>
  <c r="K39" i="22" s="1"/>
  <c r="G39" i="22"/>
  <c r="J36" i="22"/>
  <c r="K36" i="22" s="1"/>
  <c r="G36" i="22"/>
  <c r="J33" i="22"/>
  <c r="K33" i="22" s="1"/>
  <c r="G33" i="22"/>
  <c r="J30" i="22"/>
  <c r="K30" i="22" s="1"/>
  <c r="G30" i="22"/>
  <c r="J27" i="22"/>
  <c r="H27" i="22"/>
  <c r="K27" i="22" s="1"/>
  <c r="C27" i="22"/>
  <c r="G27" i="22" s="1"/>
  <c r="J24" i="22"/>
  <c r="K24" i="22" s="1"/>
  <c r="G24" i="22"/>
  <c r="J21" i="22"/>
  <c r="K21" i="22" s="1"/>
  <c r="G21" i="22"/>
  <c r="J18" i="22"/>
  <c r="K18" i="22" s="1"/>
  <c r="G18" i="22"/>
  <c r="J15" i="22"/>
  <c r="K15" i="22" s="1"/>
  <c r="G15" i="22"/>
  <c r="J12" i="22"/>
  <c r="K12" i="22" s="1"/>
  <c r="G12" i="22"/>
  <c r="J9" i="22"/>
  <c r="K9" i="22" s="1"/>
  <c r="G9" i="22"/>
  <c r="K108" i="20"/>
  <c r="G108" i="20"/>
  <c r="E88" i="20"/>
  <c r="G88" i="20" s="1"/>
  <c r="J9" i="20"/>
  <c r="K9" i="20" s="1"/>
  <c r="J104" i="20"/>
  <c r="K104" i="20" s="1"/>
  <c r="J100" i="20"/>
  <c r="J96" i="20"/>
  <c r="K96" i="20" s="1"/>
  <c r="J92" i="20"/>
  <c r="K92" i="20" s="1"/>
  <c r="J88" i="20"/>
  <c r="K88" i="20" s="1"/>
  <c r="J85" i="20"/>
  <c r="K85" i="20" s="1"/>
  <c r="J81" i="20"/>
  <c r="J78" i="20"/>
  <c r="K78" i="20" s="1"/>
  <c r="J75" i="20"/>
  <c r="K75" i="20" s="1"/>
  <c r="J58" i="20"/>
  <c r="K58" i="20" s="1"/>
  <c r="J55" i="20"/>
  <c r="K55" i="20" s="1"/>
  <c r="J52" i="20"/>
  <c r="K52" i="20" s="1"/>
  <c r="J48" i="20"/>
  <c r="K48" i="20" s="1"/>
  <c r="J45" i="20"/>
  <c r="J42" i="20"/>
  <c r="K42" i="20" s="1"/>
  <c r="J39" i="20"/>
  <c r="K39" i="20" s="1"/>
  <c r="J36" i="20"/>
  <c r="K36" i="20" s="1"/>
  <c r="J33" i="20"/>
  <c r="J30" i="20"/>
  <c r="K30" i="20" s="1"/>
  <c r="K27" i="20"/>
  <c r="G27" i="20"/>
  <c r="G24" i="20"/>
  <c r="J24" i="20"/>
  <c r="K24" i="20" s="1"/>
  <c r="L24" i="20" s="1"/>
  <c r="J21" i="20"/>
  <c r="K21" i="20" s="1"/>
  <c r="J18" i="20"/>
  <c r="K18" i="20" s="1"/>
  <c r="J15" i="20"/>
  <c r="K15" i="20" s="1"/>
  <c r="J12" i="20"/>
  <c r="K12" i="20" s="1"/>
  <c r="G104" i="20"/>
  <c r="K100" i="20"/>
  <c r="G100" i="20"/>
  <c r="G96" i="20"/>
  <c r="L96" i="20" s="1"/>
  <c r="G92" i="20"/>
  <c r="G85" i="20"/>
  <c r="K81" i="20"/>
  <c r="G81" i="20"/>
  <c r="G78" i="20"/>
  <c r="G75" i="20"/>
  <c r="G58" i="20"/>
  <c r="G55" i="20"/>
  <c r="G52" i="20"/>
  <c r="G48" i="20"/>
  <c r="K45" i="20"/>
  <c r="G45" i="20"/>
  <c r="G42" i="20"/>
  <c r="G39" i="20"/>
  <c r="G36" i="20"/>
  <c r="K33" i="20"/>
  <c r="G33" i="20"/>
  <c r="G30" i="20"/>
  <c r="G21" i="20"/>
  <c r="G18" i="20"/>
  <c r="G15" i="20"/>
  <c r="G12" i="20"/>
  <c r="G9" i="20"/>
  <c r="J98" i="19"/>
  <c r="J94" i="19"/>
  <c r="K94" i="19" s="1"/>
  <c r="J90" i="19"/>
  <c r="K90" i="19" s="1"/>
  <c r="J86" i="19"/>
  <c r="K86" i="19" s="1"/>
  <c r="J82" i="19"/>
  <c r="K82" i="19" s="1"/>
  <c r="J79" i="19"/>
  <c r="K79" i="19" s="1"/>
  <c r="J75" i="19"/>
  <c r="K75" i="19" s="1"/>
  <c r="J72" i="19"/>
  <c r="J58" i="19"/>
  <c r="K58" i="19" s="1"/>
  <c r="J55" i="19"/>
  <c r="K55" i="19" s="1"/>
  <c r="J52" i="19"/>
  <c r="K52" i="19" s="1"/>
  <c r="J49" i="19"/>
  <c r="J45" i="19"/>
  <c r="K45" i="19" s="1"/>
  <c r="J42" i="19"/>
  <c r="C39" i="19"/>
  <c r="G39" i="19" s="1"/>
  <c r="H39" i="19"/>
  <c r="J39" i="19"/>
  <c r="J36" i="19"/>
  <c r="J30" i="19"/>
  <c r="K30" i="19" s="1"/>
  <c r="J27" i="19"/>
  <c r="K27" i="19" s="1"/>
  <c r="J24" i="19"/>
  <c r="J21" i="19"/>
  <c r="K21" i="19" s="1"/>
  <c r="I18" i="19"/>
  <c r="C18" i="19"/>
  <c r="G18" i="19" s="1"/>
  <c r="J18" i="19"/>
  <c r="H18" i="19"/>
  <c r="J15" i="19"/>
  <c r="K15" i="19" s="1"/>
  <c r="J12" i="19"/>
  <c r="K12" i="19" s="1"/>
  <c r="J9" i="19"/>
  <c r="K9" i="19" s="1"/>
  <c r="G42" i="19"/>
  <c r="G24" i="19"/>
  <c r="G21" i="19"/>
  <c r="G98" i="19"/>
  <c r="G82" i="19"/>
  <c r="G79" i="19"/>
  <c r="G52" i="19"/>
  <c r="G45" i="19"/>
  <c r="G12" i="19"/>
  <c r="G9" i="19"/>
  <c r="G94" i="19"/>
  <c r="G90" i="19"/>
  <c r="G86" i="19"/>
  <c r="G75" i="19"/>
  <c r="G72" i="19"/>
  <c r="G58" i="19"/>
  <c r="G55" i="19"/>
  <c r="K49" i="19"/>
  <c r="G49" i="19"/>
  <c r="G36" i="19"/>
  <c r="K33" i="19"/>
  <c r="G33" i="19"/>
  <c r="G30" i="19"/>
  <c r="G27" i="19"/>
  <c r="G15" i="19"/>
  <c r="L52" i="22" l="1"/>
  <c r="L89" i="22"/>
  <c r="L93" i="22"/>
  <c r="L97" i="22"/>
  <c r="L18" i="22"/>
  <c r="L33" i="22"/>
  <c r="L45" i="22"/>
  <c r="L15" i="22"/>
  <c r="L27" i="22"/>
  <c r="L30" i="22"/>
  <c r="L42" i="22"/>
  <c r="L72" i="22"/>
  <c r="L12" i="22"/>
  <c r="L24" i="22"/>
  <c r="L39" i="22"/>
  <c r="L9" i="22"/>
  <c r="L21" i="22"/>
  <c r="L36" i="22"/>
  <c r="L49" i="22"/>
  <c r="K55" i="22"/>
  <c r="L55" i="22" s="1"/>
  <c r="K75" i="22"/>
  <c r="L75" i="22" s="1"/>
  <c r="L101" i="22"/>
  <c r="L85" i="22"/>
  <c r="L82" i="22"/>
  <c r="L78" i="22"/>
  <c r="L108" i="20"/>
  <c r="L104" i="20"/>
  <c r="L88" i="20"/>
  <c r="L81" i="20"/>
  <c r="L75" i="20"/>
  <c r="L55" i="20"/>
  <c r="L48" i="20"/>
  <c r="L27" i="20"/>
  <c r="L45" i="20"/>
  <c r="L52" i="20"/>
  <c r="L58" i="20"/>
  <c r="L78" i="20"/>
  <c r="L85" i="20"/>
  <c r="L92" i="20"/>
  <c r="L100" i="20"/>
  <c r="L39" i="20"/>
  <c r="L42" i="20"/>
  <c r="L36" i="20"/>
  <c r="L33" i="20"/>
  <c r="L15" i="20"/>
  <c r="L9" i="20"/>
  <c r="L12" i="20"/>
  <c r="L18" i="20"/>
  <c r="L21" i="20"/>
  <c r="L30" i="20"/>
  <c r="K39" i="19"/>
  <c r="L39" i="19" s="1"/>
  <c r="K98" i="19"/>
  <c r="L98" i="19" s="1"/>
  <c r="L9" i="19"/>
  <c r="L86" i="19"/>
  <c r="L94" i="19"/>
  <c r="L21" i="19"/>
  <c r="L27" i="19"/>
  <c r="K72" i="19"/>
  <c r="L72" i="19" s="1"/>
  <c r="L49" i="19"/>
  <c r="K24" i="19"/>
  <c r="L24" i="19" s="1"/>
  <c r="K36" i="19"/>
  <c r="L36" i="19" s="1"/>
  <c r="L82" i="19"/>
  <c r="K42" i="19"/>
  <c r="L42" i="19" s="1"/>
  <c r="L79" i="19"/>
  <c r="L12" i="19"/>
  <c r="L45" i="19"/>
  <c r="L52" i="19"/>
  <c r="L75" i="19"/>
  <c r="L90" i="19"/>
  <c r="L58" i="19"/>
  <c r="L55" i="19"/>
  <c r="L33" i="19"/>
  <c r="L30" i="19"/>
  <c r="K18" i="19"/>
  <c r="L18" i="19" s="1"/>
  <c r="L15" i="19"/>
  <c r="L127" i="7" l="1"/>
  <c r="H127" i="7"/>
  <c r="M127" i="7" s="1"/>
  <c r="L124" i="7"/>
  <c r="H124" i="7"/>
  <c r="M124" i="7" s="1"/>
  <c r="L120" i="7"/>
  <c r="H120" i="7"/>
  <c r="L116" i="7"/>
  <c r="H116" i="7"/>
  <c r="L109" i="7"/>
  <c r="H109" i="7"/>
  <c r="L106" i="7"/>
  <c r="H106" i="7"/>
  <c r="M106" i="7" s="1"/>
  <c r="L102" i="7"/>
  <c r="H102" i="7"/>
  <c r="M102" i="7" s="1"/>
  <c r="L99" i="7"/>
  <c r="H99" i="7"/>
  <c r="M99" i="7" s="1"/>
  <c r="L95" i="7"/>
  <c r="H95" i="7"/>
  <c r="M95" i="7" s="1"/>
  <c r="L92" i="7"/>
  <c r="H92" i="7"/>
  <c r="M92" i="7" s="1"/>
  <c r="L88" i="7"/>
  <c r="H88" i="7"/>
  <c r="L79" i="7"/>
  <c r="H79" i="7"/>
  <c r="L75" i="7"/>
  <c r="H75" i="7"/>
  <c r="L72" i="7"/>
  <c r="H72" i="7"/>
  <c r="M72" i="7" s="1"/>
  <c r="K69" i="7"/>
  <c r="L69" i="7" s="1"/>
  <c r="H69" i="7"/>
  <c r="K66" i="7"/>
  <c r="L66" i="7" s="1"/>
  <c r="H66" i="7"/>
  <c r="L63" i="7"/>
  <c r="H63" i="7"/>
  <c r="M63" i="7" s="1"/>
  <c r="L60" i="7"/>
  <c r="H60" i="7"/>
  <c r="M60" i="7" s="1"/>
  <c r="L56" i="7"/>
  <c r="H56" i="7"/>
  <c r="L53" i="7"/>
  <c r="H53" i="7"/>
  <c r="M53" i="7" s="1"/>
  <c r="L50" i="7"/>
  <c r="H50" i="7"/>
  <c r="L40" i="7"/>
  <c r="H40" i="7"/>
  <c r="L37" i="7"/>
  <c r="H37" i="7"/>
  <c r="K34" i="7"/>
  <c r="L34" i="7" s="1"/>
  <c r="H34" i="7"/>
  <c r="L31" i="7"/>
  <c r="H31" i="7"/>
  <c r="M31" i="7" s="1"/>
  <c r="L28" i="7"/>
  <c r="H28" i="7"/>
  <c r="M28" i="7" s="1"/>
  <c r="L25" i="7"/>
  <c r="H25" i="7"/>
  <c r="M25" i="7" s="1"/>
  <c r="K22" i="7"/>
  <c r="L22" i="7" s="1"/>
  <c r="H22" i="7"/>
  <c r="L19" i="7"/>
  <c r="H19" i="7"/>
  <c r="L16" i="7"/>
  <c r="H16" i="7"/>
  <c r="M16" i="7" s="1"/>
  <c r="L13" i="7"/>
  <c r="H13" i="7"/>
  <c r="M13" i="7" s="1"/>
  <c r="L10" i="7"/>
  <c r="H10" i="7"/>
  <c r="M10" i="7" s="1"/>
  <c r="L114" i="6"/>
  <c r="H114" i="6"/>
  <c r="L111" i="6"/>
  <c r="H111" i="6"/>
  <c r="M111" i="6" s="1"/>
  <c r="L107" i="6"/>
  <c r="H107" i="6"/>
  <c r="L103" i="6"/>
  <c r="H103" i="6"/>
  <c r="K96" i="6"/>
  <c r="L96" i="6" s="1"/>
  <c r="H96" i="6"/>
  <c r="L93" i="6"/>
  <c r="H93" i="6"/>
  <c r="L89" i="6"/>
  <c r="H89" i="6"/>
  <c r="M89" i="6" s="1"/>
  <c r="L86" i="6"/>
  <c r="H86" i="6"/>
  <c r="L82" i="6"/>
  <c r="H82" i="6"/>
  <c r="L79" i="6"/>
  <c r="H79" i="6"/>
  <c r="L75" i="6"/>
  <c r="H75" i="6"/>
  <c r="M75" i="6" s="1"/>
  <c r="L72" i="6"/>
  <c r="H72" i="6"/>
  <c r="M72" i="6" s="1"/>
  <c r="L68" i="6"/>
  <c r="H68" i="6"/>
  <c r="M68" i="6" s="1"/>
  <c r="L65" i="6"/>
  <c r="H65" i="6"/>
  <c r="K62" i="6"/>
  <c r="L62" i="6" s="1"/>
  <c r="H62" i="6"/>
  <c r="K59" i="6"/>
  <c r="L59" i="6" s="1"/>
  <c r="H59" i="6"/>
  <c r="L56" i="6"/>
  <c r="H56" i="6"/>
  <c r="L53" i="6"/>
  <c r="H53" i="6"/>
  <c r="K46" i="6"/>
  <c r="L46" i="6" s="1"/>
  <c r="H46" i="6"/>
  <c r="L43" i="6"/>
  <c r="H43" i="6"/>
  <c r="L40" i="6"/>
  <c r="H40" i="6"/>
  <c r="M40" i="6" s="1"/>
  <c r="L37" i="6"/>
  <c r="H37" i="6"/>
  <c r="M37" i="6" s="1"/>
  <c r="L34" i="6"/>
  <c r="H34" i="6"/>
  <c r="L31" i="6"/>
  <c r="H31" i="6"/>
  <c r="L28" i="6"/>
  <c r="H28" i="6"/>
  <c r="M28" i="6" s="1"/>
  <c r="L25" i="6"/>
  <c r="H25" i="6"/>
  <c r="M25" i="6" s="1"/>
  <c r="K22" i="6"/>
  <c r="L22" i="6" s="1"/>
  <c r="H22" i="6"/>
  <c r="L19" i="6"/>
  <c r="H19" i="6"/>
  <c r="M19" i="6" s="1"/>
  <c r="L16" i="6"/>
  <c r="H16" i="6"/>
  <c r="M16" i="6" s="1"/>
  <c r="L13" i="6"/>
  <c r="H13" i="6"/>
  <c r="L10" i="6"/>
  <c r="H10" i="6"/>
  <c r="M10" i="6" s="1"/>
  <c r="L105" i="5"/>
  <c r="H105" i="5"/>
  <c r="L101" i="5"/>
  <c r="H101" i="5"/>
  <c r="L97" i="5"/>
  <c r="H97" i="5"/>
  <c r="L90" i="5"/>
  <c r="H90" i="5"/>
  <c r="M90" i="5" s="1"/>
  <c r="L86" i="5"/>
  <c r="H86" i="5"/>
  <c r="M86" i="5" s="1"/>
  <c r="L83" i="5"/>
  <c r="H83" i="5"/>
  <c r="M83" i="5" s="1"/>
  <c r="L79" i="5"/>
  <c r="H79" i="5"/>
  <c r="L76" i="5"/>
  <c r="H76" i="5"/>
  <c r="M76" i="5" s="1"/>
  <c r="L72" i="5"/>
  <c r="H72" i="5"/>
  <c r="L69" i="5"/>
  <c r="H69" i="5"/>
  <c r="L65" i="5"/>
  <c r="H65" i="5"/>
  <c r="M65" i="5" s="1"/>
  <c r="L62" i="5"/>
  <c r="B62" i="5"/>
  <c r="H62" i="5" s="1"/>
  <c r="M62" i="5" s="1"/>
  <c r="K59" i="5"/>
  <c r="L59" i="5" s="1"/>
  <c r="H59" i="5"/>
  <c r="K56" i="5"/>
  <c r="L56" i="5" s="1"/>
  <c r="H56" i="5"/>
  <c r="L53" i="5"/>
  <c r="H53" i="5"/>
  <c r="M53" i="5" s="1"/>
  <c r="K50" i="5"/>
  <c r="L50" i="5" s="1"/>
  <c r="H50" i="5"/>
  <c r="L43" i="5"/>
  <c r="H43" i="5"/>
  <c r="M43" i="5" s="1"/>
  <c r="L40" i="5"/>
  <c r="H40" i="5"/>
  <c r="M40" i="5" s="1"/>
  <c r="L37" i="5"/>
  <c r="H37" i="5"/>
  <c r="L34" i="5"/>
  <c r="B34" i="5"/>
  <c r="H34" i="5" s="1"/>
  <c r="M34" i="5" s="1"/>
  <c r="L31" i="5"/>
  <c r="H31" i="5"/>
  <c r="M31" i="5" s="1"/>
  <c r="L28" i="5"/>
  <c r="H28" i="5"/>
  <c r="L25" i="5"/>
  <c r="B25" i="5"/>
  <c r="H25" i="5" s="1"/>
  <c r="M25" i="5" s="1"/>
  <c r="K22" i="5"/>
  <c r="L22" i="5" s="1"/>
  <c r="H22" i="5"/>
  <c r="L19" i="5"/>
  <c r="H19" i="5"/>
  <c r="M19" i="5" s="1"/>
  <c r="L16" i="5"/>
  <c r="B16" i="5"/>
  <c r="H16" i="5" s="1"/>
  <c r="M16" i="5" s="1"/>
  <c r="K13" i="5"/>
  <c r="L13" i="5" s="1"/>
  <c r="H13" i="5"/>
  <c r="L10" i="5"/>
  <c r="H10" i="5"/>
  <c r="L88" i="4"/>
  <c r="H88" i="4"/>
  <c r="M88" i="4" s="1"/>
  <c r="L81" i="4"/>
  <c r="H81" i="4"/>
  <c r="M81" i="4" s="1"/>
  <c r="L77" i="4"/>
  <c r="H77" i="4"/>
  <c r="M77" i="4" s="1"/>
  <c r="L73" i="4"/>
  <c r="H73" i="4"/>
  <c r="L70" i="4"/>
  <c r="H70" i="4"/>
  <c r="M70" i="4" s="1"/>
  <c r="L66" i="4"/>
  <c r="H66" i="4"/>
  <c r="L63" i="4"/>
  <c r="H63" i="4"/>
  <c r="L59" i="4"/>
  <c r="H59" i="4"/>
  <c r="L56" i="4"/>
  <c r="H56" i="4"/>
  <c r="M56" i="4" s="1"/>
  <c r="K53" i="4"/>
  <c r="L53" i="4" s="1"/>
  <c r="H53" i="4"/>
  <c r="K50" i="4"/>
  <c r="L50" i="4" s="1"/>
  <c r="H50" i="4"/>
  <c r="L47" i="4"/>
  <c r="H47" i="4"/>
  <c r="M47" i="4" s="1"/>
  <c r="L40" i="4"/>
  <c r="H40" i="4"/>
  <c r="M40" i="4" s="1"/>
  <c r="L37" i="4"/>
  <c r="H37" i="4"/>
  <c r="K34" i="4"/>
  <c r="L34" i="4" s="1"/>
  <c r="H34" i="4"/>
  <c r="K31" i="4"/>
  <c r="L31" i="4" s="1"/>
  <c r="H31" i="4"/>
  <c r="L28" i="4"/>
  <c r="H28" i="4"/>
  <c r="M28" i="4" s="1"/>
  <c r="L25" i="4"/>
  <c r="H25" i="4"/>
  <c r="K22" i="4"/>
  <c r="L22" i="4" s="1"/>
  <c r="H22" i="4"/>
  <c r="K19" i="4"/>
  <c r="L19" i="4" s="1"/>
  <c r="H19" i="4"/>
  <c r="K16" i="4"/>
  <c r="L16" i="4" s="1"/>
  <c r="H16" i="4"/>
  <c r="K13" i="4"/>
  <c r="L13" i="4" s="1"/>
  <c r="H13" i="4"/>
  <c r="L10" i="4"/>
  <c r="H10" i="4"/>
  <c r="L73" i="3"/>
  <c r="H73" i="3"/>
  <c r="L69" i="3"/>
  <c r="H69" i="3"/>
  <c r="M69" i="3" s="1"/>
  <c r="L65" i="3"/>
  <c r="H65" i="3"/>
  <c r="M65" i="3" s="1"/>
  <c r="L62" i="3"/>
  <c r="H62" i="3"/>
  <c r="M62" i="3" s="1"/>
  <c r="L58" i="3"/>
  <c r="H58" i="3"/>
  <c r="L54" i="3"/>
  <c r="H54" i="3"/>
  <c r="M54" i="3" s="1"/>
  <c r="L51" i="3"/>
  <c r="H51" i="3"/>
  <c r="K48" i="3"/>
  <c r="L48" i="3" s="1"/>
  <c r="H48" i="3"/>
  <c r="K45" i="3"/>
  <c r="L45" i="3" s="1"/>
  <c r="H45" i="3"/>
  <c r="L42" i="3"/>
  <c r="H42" i="3"/>
  <c r="L35" i="3"/>
  <c r="H35" i="3"/>
  <c r="L32" i="3"/>
  <c r="H32" i="3"/>
  <c r="M32" i="3" s="1"/>
  <c r="L29" i="3"/>
  <c r="H29" i="3"/>
  <c r="M29" i="3" s="1"/>
  <c r="L26" i="3"/>
  <c r="H26" i="3"/>
  <c r="M26" i="3" s="1"/>
  <c r="K23" i="3"/>
  <c r="L23" i="3" s="1"/>
  <c r="H23" i="3"/>
  <c r="K20" i="3"/>
  <c r="L20" i="3" s="1"/>
  <c r="H20" i="3"/>
  <c r="M20" i="3" s="1"/>
  <c r="K17" i="3"/>
  <c r="L17" i="3" s="1"/>
  <c r="H17" i="3"/>
  <c r="K14" i="3"/>
  <c r="L14" i="3" s="1"/>
  <c r="H14" i="3"/>
  <c r="M14" i="3" s="1"/>
  <c r="L11" i="3"/>
  <c r="H11" i="3"/>
  <c r="M35" i="3" l="1"/>
  <c r="M45" i="3"/>
  <c r="M48" i="3"/>
  <c r="M73" i="3"/>
  <c r="M13" i="4"/>
  <c r="M16" i="4"/>
  <c r="M19" i="4"/>
  <c r="M22" i="4"/>
  <c r="M59" i="4"/>
  <c r="M10" i="5"/>
  <c r="M97" i="5"/>
  <c r="M56" i="6"/>
  <c r="M79" i="6"/>
  <c r="M19" i="7"/>
  <c r="M34" i="7"/>
  <c r="M37" i="7"/>
  <c r="M75" i="7"/>
  <c r="M23" i="3"/>
  <c r="M42" i="3"/>
  <c r="M58" i="3"/>
  <c r="M25" i="4"/>
  <c r="M34" i="4"/>
  <c r="M66" i="4"/>
  <c r="M13" i="5"/>
  <c r="M28" i="5"/>
  <c r="M59" i="5"/>
  <c r="M69" i="5"/>
  <c r="M79" i="5"/>
  <c r="M105" i="5"/>
  <c r="M31" i="6"/>
  <c r="M46" i="6"/>
  <c r="M59" i="6"/>
  <c r="M65" i="6"/>
  <c r="M86" i="6"/>
  <c r="M107" i="6"/>
  <c r="M22" i="7"/>
  <c r="M50" i="7"/>
  <c r="M88" i="7"/>
  <c r="M116" i="7"/>
  <c r="M11" i="3"/>
  <c r="M17" i="3"/>
  <c r="M51" i="3"/>
  <c r="M10" i="4"/>
  <c r="M31" i="4"/>
  <c r="M37" i="4"/>
  <c r="M53" i="4"/>
  <c r="M63" i="4"/>
  <c r="M73" i="4"/>
  <c r="M37" i="5"/>
  <c r="M56" i="5"/>
  <c r="M72" i="5"/>
  <c r="M101" i="5"/>
  <c r="M13" i="6"/>
  <c r="M34" i="6"/>
  <c r="M43" i="6"/>
  <c r="M53" i="6"/>
  <c r="M62" i="6"/>
  <c r="M82" i="6"/>
  <c r="M93" i="6"/>
  <c r="M103" i="6"/>
  <c r="M114" i="6"/>
  <c r="M40" i="7"/>
  <c r="M56" i="7"/>
  <c r="M69" i="7"/>
  <c r="M79" i="7"/>
  <c r="M109" i="7"/>
  <c r="M120" i="7"/>
  <c r="M50" i="4"/>
  <c r="M50" i="5"/>
  <c r="M22" i="6"/>
  <c r="M96" i="6"/>
  <c r="M66" i="7"/>
  <c r="M22" i="5"/>
</calcChain>
</file>

<file path=xl/sharedStrings.xml><?xml version="1.0" encoding="utf-8"?>
<sst xmlns="http://schemas.openxmlformats.org/spreadsheetml/2006/main" count="1678" uniqueCount="171">
  <si>
    <t>Conselho Regional dos Técnicos Insdustriais da Primeira Região</t>
  </si>
  <si>
    <t>Mês: 05</t>
  </si>
  <si>
    <t xml:space="preserve">Nome </t>
  </si>
  <si>
    <t xml:space="preserve">Remuneração </t>
  </si>
  <si>
    <t>Férias</t>
  </si>
  <si>
    <t>Abono Pecuniário</t>
  </si>
  <si>
    <t>Adiant  13º salário</t>
  </si>
  <si>
    <t>Auxílios  e Benefícios</t>
  </si>
  <si>
    <t>Gratificação</t>
  </si>
  <si>
    <t>Total de Rendimentos</t>
  </si>
  <si>
    <t>IR</t>
  </si>
  <si>
    <t>INSS</t>
  </si>
  <si>
    <t>Outros Descontos</t>
  </si>
  <si>
    <t>Total                           Descontos</t>
  </si>
  <si>
    <t>Total                              Liquído</t>
  </si>
  <si>
    <t>Cargo</t>
  </si>
  <si>
    <t>Data de admissão</t>
  </si>
  <si>
    <t>SEDE- BRASÍLIA</t>
  </si>
  <si>
    <t>Alessandra Yoshie Sakurai Uenoyama</t>
  </si>
  <si>
    <t xml:space="preserve">Assessora Jurídica </t>
  </si>
  <si>
    <t>Carla Cristina Capuzo</t>
  </si>
  <si>
    <t>Auxíiar Administrativo</t>
  </si>
  <si>
    <t>Francilene da Silva Mesquita Hash Shash</t>
  </si>
  <si>
    <t>Assistete Administrativo</t>
  </si>
  <si>
    <t>Helio Velozo Xavier Junior</t>
  </si>
  <si>
    <t>Iracy Vieira Santos Silvano</t>
  </si>
  <si>
    <t>Gerente de Infraestrutura</t>
  </si>
  <si>
    <t>Leandra Soares Bueno</t>
  </si>
  <si>
    <t>Gerente Financeiro</t>
  </si>
  <si>
    <t>Talita Mendonça Medeiros</t>
  </si>
  <si>
    <t>Assessora Contábil</t>
  </si>
  <si>
    <t>Tatyana Botelho Lima e Silva</t>
  </si>
  <si>
    <t xml:space="preserve">Chefe de Gabinete </t>
  </si>
  <si>
    <t>GOIÁS</t>
  </si>
  <si>
    <t xml:space="preserve">João Batista da Silva </t>
  </si>
  <si>
    <t>Gerente de Fiscalização</t>
  </si>
  <si>
    <t>Juliana Fernandes da Silva Sampaio</t>
  </si>
  <si>
    <t>Thibério Jardim de Oliveira</t>
  </si>
  <si>
    <t>Auxiliar Administrativo</t>
  </si>
  <si>
    <t>Vanderlei Pereira</t>
  </si>
  <si>
    <t>Assessor - 01</t>
  </si>
  <si>
    <t>Willians Matheus Telis Portilho</t>
  </si>
  <si>
    <t>CAMPO GRANDE-MS</t>
  </si>
  <si>
    <t xml:space="preserve">Luiz Claúdio Silva </t>
  </si>
  <si>
    <t>Agente de Fiscalização</t>
  </si>
  <si>
    <t xml:space="preserve">MANAUS-AM </t>
  </si>
  <si>
    <t xml:space="preserve">Hewllen Barbosa da Silva </t>
  </si>
  <si>
    <t>Luciana de Souza Barbosa</t>
  </si>
  <si>
    <t>CUIABÁ-MT</t>
  </si>
  <si>
    <t>Sílvio Júnior Oliveira de Araújo</t>
  </si>
  <si>
    <t>PALMAS -TO</t>
  </si>
  <si>
    <t xml:space="preserve">Rosilda Pereira da Silva </t>
  </si>
  <si>
    <t xml:space="preserve">Coordenadora </t>
  </si>
  <si>
    <t>RESCISÃO</t>
  </si>
  <si>
    <t xml:space="preserve">  13º salário</t>
  </si>
  <si>
    <t>Multa - art 477</t>
  </si>
  <si>
    <t xml:space="preserve">Simone de Oliveira Moura Dias </t>
  </si>
  <si>
    <t>Mês: 07</t>
  </si>
  <si>
    <t>Edna Alves de Oliveira</t>
  </si>
  <si>
    <t>Assistente Adminstrativo</t>
  </si>
  <si>
    <t>Mês: 08</t>
  </si>
  <si>
    <t>Patrícia Cândido Alvim</t>
  </si>
  <si>
    <t>Rógerio Ferreira Ferreira</t>
  </si>
  <si>
    <t>Liliam Veronese</t>
  </si>
  <si>
    <t>RORAIMA-RR</t>
  </si>
  <si>
    <t>Vanessa Raquel Pereira Pontes da Silva</t>
  </si>
  <si>
    <t>Mês: 09</t>
  </si>
  <si>
    <t>Ariana de Lourdes Macedo Dias</t>
  </si>
  <si>
    <t>Agente de fiscalização</t>
  </si>
  <si>
    <t>Assistente Administrativo</t>
  </si>
  <si>
    <t>Assistente de Tecnologia da Informação</t>
  </si>
  <si>
    <t>Gerente Técnico</t>
  </si>
  <si>
    <t>Auxíliar Adminstrativo</t>
  </si>
  <si>
    <t>Dayane Ffernandes de Aquino</t>
  </si>
  <si>
    <t>Assessor da Presidência I</t>
  </si>
  <si>
    <t>Vinicius Antônio Oliveira da Silva</t>
  </si>
  <si>
    <t>ACRE</t>
  </si>
  <si>
    <t>Marcelo Pinto da Silva</t>
  </si>
  <si>
    <t>RONDÔNIA - RO</t>
  </si>
  <si>
    <t>Andra cardoso de almeida da silva</t>
  </si>
  <si>
    <t>Mês: 10</t>
  </si>
  <si>
    <t>Assessor de Tecnologia da Informação</t>
  </si>
  <si>
    <t>Assist. de Tecnologia da Informação</t>
  </si>
  <si>
    <t>Thaís Furtado Tomaz Barbosa</t>
  </si>
  <si>
    <t>Assitente Administrativo</t>
  </si>
  <si>
    <t>Tiessa Aparecida Luiz Costa e Silva</t>
  </si>
  <si>
    <t>Jocimar Nascimento da Silva</t>
  </si>
  <si>
    <t>Mês: 11</t>
  </si>
  <si>
    <t>Lilian Judite Parente</t>
  </si>
  <si>
    <t>Andra Cardoso de Almeida da Silva</t>
  </si>
  <si>
    <t>Conselho Regional de Odontologia do Estado do Mato Grosso</t>
  </si>
  <si>
    <t>Mês: 01</t>
  </si>
  <si>
    <t>Férias + 1/3</t>
  </si>
  <si>
    <t>Anuênio</t>
  </si>
  <si>
    <t>Adiant. 13º</t>
  </si>
  <si>
    <t>IRRF</t>
  </si>
  <si>
    <t>001 - Gestão Administrativa</t>
  </si>
  <si>
    <t>Adrielli Suzamar do Nascimento Eickhoff</t>
  </si>
  <si>
    <t>Assessora Jurídica</t>
  </si>
  <si>
    <t>Alan Victor Ribeiro da Silva</t>
  </si>
  <si>
    <t>Assistente Adm Geral 1</t>
  </si>
  <si>
    <t>César Alexandre Pereira</t>
  </si>
  <si>
    <t>Analista Adm. Financeiro 1</t>
  </si>
  <si>
    <t>Cláudia Almeida</t>
  </si>
  <si>
    <t>Gerente Geral 2</t>
  </si>
  <si>
    <t>Fernanda Pereira da Silva Hahn</t>
  </si>
  <si>
    <t>Analista Adm. Financeiro Inicial</t>
  </si>
  <si>
    <t>Gabriela Albuquerque Almeida</t>
  </si>
  <si>
    <t>Assistente Adm. Geral Inicial</t>
  </si>
  <si>
    <t>Jéssika Sheyenne Floriano Cardoso de Lara Pinto</t>
  </si>
  <si>
    <t>Analista Adm. Compras 1</t>
  </si>
  <si>
    <t>Luciana Duarte Leite</t>
  </si>
  <si>
    <t>Mayara Barbosa Lima</t>
  </si>
  <si>
    <t>Analista Adm. Compra Inicial</t>
  </si>
  <si>
    <t>Moises da Costa Silva</t>
  </si>
  <si>
    <t>Raissa Morais Cruzeiro</t>
  </si>
  <si>
    <t>Assistente Adm. Geral 1</t>
  </si>
  <si>
    <t>Raul Peterson de Jesus Santana</t>
  </si>
  <si>
    <t>Rodrigo Roaldo Soares Carvalho de Jesus</t>
  </si>
  <si>
    <t>Assistente Ad. Tec Inf Inicial</t>
  </si>
  <si>
    <t>002 - Cadastro/Registro</t>
  </si>
  <si>
    <t>Candida Soares Leque</t>
  </si>
  <si>
    <t>Assistente Ad. Geral 7</t>
  </si>
  <si>
    <t>Ionara Tavares de Oliveira</t>
  </si>
  <si>
    <t>Iuryka Borges Fernandes</t>
  </si>
  <si>
    <t>Jéssica de Castro Francschini</t>
  </si>
  <si>
    <t>Assistente Adm.Geral 7</t>
  </si>
  <si>
    <t>Rafael Perin dos Reis</t>
  </si>
  <si>
    <t>Rogério Severino de Andrade</t>
  </si>
  <si>
    <t>003 - Fiscalização Sede</t>
  </si>
  <si>
    <t>Rogério José dos Reis</t>
  </si>
  <si>
    <t>Assistente Adm. Fiscal Inicial</t>
  </si>
  <si>
    <t>Rudisan César Rodrigues Andrade</t>
  </si>
  <si>
    <t>Assistente Adm. Fiscal 1</t>
  </si>
  <si>
    <t>004 - Fiscalização Tangará</t>
  </si>
  <si>
    <t>Gilmar Pereira Batista</t>
  </si>
  <si>
    <t>Assistente Ad. Fiscal 1</t>
  </si>
  <si>
    <t>005 - Fiscalização Barra do Garças</t>
  </si>
  <si>
    <t>Renato Ayres Brito</t>
  </si>
  <si>
    <t>006 - Fiscalização Sinop</t>
  </si>
  <si>
    <t>Elma Gonçalves Torres Marques da Silva</t>
  </si>
  <si>
    <t>007 - Fiscalização Rondonópolis</t>
  </si>
  <si>
    <t>Silvania Camacho Ramos</t>
  </si>
  <si>
    <t>Mês: 02</t>
  </si>
  <si>
    <t>Analista Adm. Financeiro 2</t>
  </si>
  <si>
    <t>Gustavo Amaral da Silva</t>
  </si>
  <si>
    <t>Assessor Jurídico</t>
  </si>
  <si>
    <t>008 - Estágio Gestão Administrativa</t>
  </si>
  <si>
    <t>Carina Natalia Arruda Tibaldi</t>
  </si>
  <si>
    <t>Estagiária</t>
  </si>
  <si>
    <t>Mês: 03</t>
  </si>
  <si>
    <t>Assistente Adm Geral 2</t>
  </si>
  <si>
    <t>DESLIGAMENTO  04/03/2022</t>
  </si>
  <si>
    <t>Mês: 4</t>
  </si>
  <si>
    <t>Mês: 04</t>
  </si>
  <si>
    <t>Renata Pedrozo Lino</t>
  </si>
  <si>
    <t>Assistente Adm Geral Inicial</t>
  </si>
  <si>
    <t>Mês: 06</t>
  </si>
  <si>
    <t xml:space="preserve">Edianez Chistine Silva </t>
  </si>
  <si>
    <t>Conselho Regional de Odontologia do Estado do Mato Grosso - CRO MT</t>
  </si>
  <si>
    <t>Bruno Eduardo de Oliveira Lima</t>
  </si>
  <si>
    <t>Assistente Adm. Geral II</t>
  </si>
  <si>
    <t>Assistente Adm. Fiscal II</t>
  </si>
  <si>
    <t>HORA EXTRA + DSR</t>
  </si>
  <si>
    <t xml:space="preserve">Hora Extra </t>
  </si>
  <si>
    <t>DSR</t>
  </si>
  <si>
    <t xml:space="preserve">Jéssika Sheyenne Floriano </t>
  </si>
  <si>
    <t>Assistente Adm Geral II</t>
  </si>
  <si>
    <t>006 - Fiscalização SINOP</t>
  </si>
  <si>
    <t>007 - Fiscalização Rondonopolis</t>
  </si>
  <si>
    <t>Adriel Salles Fogaça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</si>
</sst>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_-&quot;R$&quot;\ * #,##0.00_-;\-&quot;R$&quot;\ * #,##0.00_-;_-&quot;R$&quot;\ * &quot;-&quot;??_-;_-@"/>
    <numFmt numFmtId="166" formatCode="&quot;R$&quot;\ #,##0.00"/>
    <numFmt numFmtId="167" formatCode="_-&quot;R$&quot;* #,##0.00_-;\-&quot;R$&quot;* #,##0.00_-;_-&quot;R$&quot;* &quot;-&quot;??_-;_-@"/>
    <numFmt numFmtId="168" formatCode="&quot;R$&quot;#,##0.00"/>
  </numFmts>
  <fonts count="34" x14ac:knownFonts="1">
    <font>
      <sz val="11"/>
      <color theme="1"/>
      <name val="Arial"/>
    </font>
    <font>
      <b/>
      <sz val="11"/>
      <color theme="1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</font>
    <font>
      <b/>
      <sz val="11"/>
      <name val="Arial"/>
      <family val="2"/>
    </font>
    <font>
      <b/>
      <sz val="8"/>
      <color rgb="FF00000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8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sz val="8"/>
      <color rgb="FFFF0000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8"/>
      <color rgb="FF000000"/>
      <name val="Calibri"/>
      <family val="2"/>
    </font>
    <font>
      <b/>
      <sz val="1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rgb="FF000000"/>
      <name val="Calibri"/>
      <family val="2"/>
    </font>
    <font>
      <sz val="11"/>
      <color rgb="FF000000"/>
      <name val="Arial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</fills>
  <borders count="1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281">
    <xf numFmtId="0" fontId="0" fillId="0" borderId="0" xfId="0"/>
    <xf numFmtId="0" fontId="3" fillId="0" borderId="0" xfId="0" applyFont="1"/>
    <xf numFmtId="0" fontId="5" fillId="0" borderId="1" xfId="0" applyFont="1" applyBorder="1"/>
    <xf numFmtId="0" fontId="6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14" fontId="4" fillId="0" borderId="2" xfId="0" applyNumberFormat="1" applyFont="1" applyBorder="1" applyAlignment="1">
      <alignment horizontal="left"/>
    </xf>
    <xf numFmtId="165" fontId="4" fillId="0" borderId="2" xfId="0" applyNumberFormat="1" applyFont="1" applyBorder="1" applyAlignment="1">
      <alignment horizontal="center" vertical="center"/>
    </xf>
    <xf numFmtId="14" fontId="6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left"/>
    </xf>
    <xf numFmtId="166" fontId="4" fillId="0" borderId="2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3" xfId="0" applyFont="1" applyFill="1" applyBorder="1" applyAlignment="1">
      <alignment vertical="top"/>
    </xf>
    <xf numFmtId="0" fontId="5" fillId="0" borderId="5" xfId="0" applyFont="1" applyBorder="1"/>
    <xf numFmtId="166" fontId="4" fillId="0" borderId="5" xfId="0" applyNumberFormat="1" applyFont="1" applyBorder="1" applyAlignment="1">
      <alignment horizontal="center"/>
    </xf>
    <xf numFmtId="0" fontId="6" fillId="0" borderId="6" xfId="0" applyFont="1" applyBorder="1"/>
    <xf numFmtId="166" fontId="4" fillId="0" borderId="6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166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vertical="center"/>
    </xf>
    <xf numFmtId="14" fontId="5" fillId="0" borderId="7" xfId="0" applyNumberFormat="1" applyFont="1" applyBorder="1" applyAlignment="1">
      <alignment horizontal="left"/>
    </xf>
    <xf numFmtId="166" fontId="4" fillId="0" borderId="7" xfId="0" applyNumberFormat="1" applyFont="1" applyBorder="1" applyAlignment="1">
      <alignment horizontal="center"/>
    </xf>
    <xf numFmtId="166" fontId="4" fillId="0" borderId="7" xfId="0" applyNumberFormat="1" applyFont="1" applyBorder="1" applyAlignment="1">
      <alignment vertical="center"/>
    </xf>
    <xf numFmtId="0" fontId="5" fillId="0" borderId="7" xfId="0" applyFont="1" applyBorder="1"/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vertical="center"/>
    </xf>
    <xf numFmtId="167" fontId="3" fillId="0" borderId="0" xfId="0" applyNumberFormat="1" applyFont="1"/>
    <xf numFmtId="166" fontId="4" fillId="0" borderId="2" xfId="0" applyNumberFormat="1" applyFont="1" applyBorder="1" applyAlignment="1">
      <alignment horizontal="center" vertical="center"/>
    </xf>
    <xf numFmtId="166" fontId="3" fillId="0" borderId="0" xfId="0" applyNumberFormat="1" applyFont="1"/>
    <xf numFmtId="166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 vertical="center"/>
    </xf>
    <xf numFmtId="166" fontId="4" fillId="0" borderId="7" xfId="0" applyNumberFormat="1" applyFont="1" applyBorder="1" applyAlignment="1">
      <alignment horizontal="center" vertical="center"/>
    </xf>
    <xf numFmtId="166" fontId="3" fillId="0" borderId="7" xfId="0" applyNumberFormat="1" applyFont="1" applyBorder="1"/>
    <xf numFmtId="166" fontId="3" fillId="0" borderId="7" xfId="0" applyNumberFormat="1" applyFont="1" applyBorder="1" applyAlignment="1">
      <alignment horizontal="center"/>
    </xf>
    <xf numFmtId="166" fontId="3" fillId="0" borderId="7" xfId="0" applyNumberFormat="1" applyFont="1" applyBorder="1" applyAlignment="1">
      <alignment horizontal="center" vertical="center"/>
    </xf>
    <xf numFmtId="0" fontId="5" fillId="0" borderId="12" xfId="0" applyFont="1" applyBorder="1"/>
    <xf numFmtId="166" fontId="4" fillId="0" borderId="12" xfId="0" applyNumberFormat="1" applyFont="1" applyBorder="1" applyAlignment="1">
      <alignment horizontal="center" vertical="center"/>
    </xf>
    <xf numFmtId="166" fontId="3" fillId="0" borderId="12" xfId="0" applyNumberFormat="1" applyFont="1" applyBorder="1"/>
    <xf numFmtId="166" fontId="3" fillId="0" borderId="12" xfId="0" applyNumberFormat="1" applyFont="1" applyBorder="1" applyAlignment="1">
      <alignment horizontal="center"/>
    </xf>
    <xf numFmtId="14" fontId="4" fillId="0" borderId="0" xfId="0" applyNumberFormat="1" applyFont="1"/>
    <xf numFmtId="166" fontId="4" fillId="0" borderId="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68" fontId="3" fillId="0" borderId="0" xfId="0" applyNumberFormat="1" applyFont="1"/>
    <xf numFmtId="14" fontId="4" fillId="0" borderId="2" xfId="0" applyNumberFormat="1" applyFont="1" applyBorder="1" applyAlignment="1">
      <alignment horizontal="left" vertical="center"/>
    </xf>
    <xf numFmtId="14" fontId="8" fillId="0" borderId="2" xfId="0" applyNumberFormat="1" applyFont="1" applyBorder="1" applyAlignment="1">
      <alignment horizontal="left"/>
    </xf>
    <xf numFmtId="14" fontId="9" fillId="0" borderId="2" xfId="0" applyNumberFormat="1" applyFont="1" applyBorder="1" applyAlignment="1">
      <alignment horizontal="left" vertical="center"/>
    </xf>
    <xf numFmtId="0" fontId="3" fillId="2" borderId="11" xfId="0" applyFont="1" applyFill="1" applyBorder="1"/>
    <xf numFmtId="14" fontId="4" fillId="0" borderId="11" xfId="0" applyNumberFormat="1" applyFont="1" applyBorder="1" applyAlignment="1">
      <alignment horizontal="left"/>
    </xf>
    <xf numFmtId="164" fontId="4" fillId="0" borderId="0" xfId="1" applyFont="1" applyAlignment="1">
      <alignment horizontal="center" vertical="center"/>
    </xf>
    <xf numFmtId="164" fontId="4" fillId="0" borderId="2" xfId="1" applyFont="1" applyBorder="1" applyAlignment="1">
      <alignment horizontal="center"/>
    </xf>
    <xf numFmtId="164" fontId="4" fillId="0" borderId="2" xfId="1" applyFont="1" applyBorder="1" applyAlignment="1">
      <alignment horizontal="center" vertical="center"/>
    </xf>
    <xf numFmtId="164" fontId="4" fillId="0" borderId="0" xfId="1" applyFont="1" applyAlignment="1">
      <alignment horizontal="center"/>
    </xf>
    <xf numFmtId="164" fontId="4" fillId="0" borderId="11" xfId="1" applyFont="1" applyBorder="1" applyAlignment="1">
      <alignment horizontal="center"/>
    </xf>
    <xf numFmtId="164" fontId="8" fillId="0" borderId="2" xfId="1" applyFont="1" applyBorder="1" applyAlignment="1">
      <alignment horizontal="center" vertical="center"/>
    </xf>
    <xf numFmtId="164" fontId="3" fillId="0" borderId="0" xfId="1" applyFont="1"/>
    <xf numFmtId="164" fontId="3" fillId="0" borderId="0" xfId="1" applyFont="1" applyAlignment="1">
      <alignment horizontal="center" vertical="center"/>
    </xf>
    <xf numFmtId="164" fontId="0" fillId="0" borderId="0" xfId="1" applyFont="1"/>
    <xf numFmtId="164" fontId="0" fillId="0" borderId="0" xfId="1" applyFont="1" applyAlignment="1"/>
    <xf numFmtId="164" fontId="3" fillId="0" borderId="0" xfId="1" applyFont="1" applyAlignment="1"/>
    <xf numFmtId="0" fontId="4" fillId="0" borderId="11" xfId="0" applyFont="1" applyBorder="1"/>
    <xf numFmtId="164" fontId="4" fillId="0" borderId="0" xfId="1" applyFont="1" applyFill="1" applyAlignment="1">
      <alignment horizontal="center" vertical="center"/>
    </xf>
    <xf numFmtId="164" fontId="4" fillId="0" borderId="2" xfId="1" applyFont="1" applyFill="1" applyBorder="1" applyAlignment="1">
      <alignment horizontal="center"/>
    </xf>
    <xf numFmtId="164" fontId="8" fillId="0" borderId="2" xfId="1" applyFont="1" applyFill="1" applyBorder="1" applyAlignment="1">
      <alignment horizontal="center"/>
    </xf>
    <xf numFmtId="164" fontId="4" fillId="0" borderId="2" xfId="1" applyFont="1" applyFill="1" applyBorder="1" applyAlignment="1">
      <alignment horizontal="center" vertical="center"/>
    </xf>
    <xf numFmtId="164" fontId="4" fillId="0" borderId="0" xfId="1" applyFont="1" applyFill="1" applyAlignment="1">
      <alignment horizontal="center"/>
    </xf>
    <xf numFmtId="164" fontId="4" fillId="0" borderId="11" xfId="1" applyFont="1" applyFill="1" applyBorder="1" applyAlignment="1">
      <alignment horizontal="center"/>
    </xf>
    <xf numFmtId="164" fontId="8" fillId="0" borderId="11" xfId="1" applyFont="1" applyFill="1" applyBorder="1" applyAlignment="1">
      <alignment horizontal="center"/>
    </xf>
    <xf numFmtId="164" fontId="4" fillId="0" borderId="11" xfId="1" applyFont="1" applyFill="1" applyBorder="1" applyAlignment="1">
      <alignment horizontal="center" vertical="center"/>
    </xf>
    <xf numFmtId="164" fontId="8" fillId="0" borderId="2" xfId="1" applyFont="1" applyFill="1" applyBorder="1" applyAlignment="1">
      <alignment horizontal="center" vertical="center"/>
    </xf>
    <xf numFmtId="164" fontId="4" fillId="0" borderId="6" xfId="1" applyFont="1" applyFill="1" applyBorder="1" applyAlignment="1">
      <alignment horizontal="center"/>
    </xf>
    <xf numFmtId="164" fontId="3" fillId="0" borderId="0" xfId="1" applyFont="1" applyFill="1"/>
    <xf numFmtId="164" fontId="3" fillId="0" borderId="0" xfId="1" applyFont="1" applyFill="1" applyAlignment="1">
      <alignment horizontal="center"/>
    </xf>
    <xf numFmtId="164" fontId="3" fillId="0" borderId="0" xfId="1" applyFont="1" applyFill="1" applyAlignment="1">
      <alignment horizontal="center" vertical="center"/>
    </xf>
    <xf numFmtId="164" fontId="8" fillId="0" borderId="0" xfId="1" applyFont="1" applyFill="1" applyAlignment="1">
      <alignment horizontal="center"/>
    </xf>
    <xf numFmtId="164" fontId="0" fillId="0" borderId="0" xfId="1" applyFont="1" applyFill="1"/>
    <xf numFmtId="164" fontId="0" fillId="0" borderId="0" xfId="1" applyFont="1" applyFill="1" applyAlignment="1"/>
    <xf numFmtId="14" fontId="8" fillId="0" borderId="11" xfId="0" applyNumberFormat="1" applyFont="1" applyBorder="1" applyAlignment="1">
      <alignment horizontal="left"/>
    </xf>
    <xf numFmtId="164" fontId="4" fillId="0" borderId="11" xfId="1" applyFont="1" applyBorder="1" applyAlignment="1">
      <alignment horizontal="center" vertical="center"/>
    </xf>
    <xf numFmtId="164" fontId="4" fillId="0" borderId="6" xfId="1" applyFont="1" applyBorder="1" applyAlignment="1">
      <alignment horizontal="center"/>
    </xf>
    <xf numFmtId="164" fontId="4" fillId="0" borderId="6" xfId="1" applyFont="1" applyBorder="1" applyAlignment="1"/>
    <xf numFmtId="164" fontId="4" fillId="0" borderId="13" xfId="1" applyFont="1" applyBorder="1" applyAlignment="1"/>
    <xf numFmtId="164" fontId="11" fillId="0" borderId="2" xfId="1" applyFont="1" applyFill="1" applyBorder="1" applyAlignment="1">
      <alignment horizontal="center" vertical="center"/>
    </xf>
    <xf numFmtId="0" fontId="8" fillId="2" borderId="11" xfId="0" applyFont="1" applyFill="1" applyBorder="1"/>
    <xf numFmtId="0" fontId="4" fillId="2" borderId="11" xfId="0" applyFont="1" applyFill="1" applyBorder="1" applyAlignment="1">
      <alignment horizontal="center"/>
    </xf>
    <xf numFmtId="0" fontId="4" fillId="2" borderId="11" xfId="0" applyFont="1" applyFill="1" applyBorder="1"/>
    <xf numFmtId="0" fontId="4" fillId="2" borderId="11" xfId="0" applyFont="1" applyFill="1" applyBorder="1" applyAlignment="1">
      <alignment vertical="top"/>
    </xf>
    <xf numFmtId="0" fontId="4" fillId="2" borderId="5" xfId="0" applyFont="1" applyFill="1" applyBorder="1"/>
    <xf numFmtId="0" fontId="4" fillId="0" borderId="11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2" fillId="0" borderId="11" xfId="0" applyFont="1" applyBorder="1"/>
    <xf numFmtId="0" fontId="4" fillId="2" borderId="4" xfId="0" applyFont="1" applyFill="1" applyBorder="1"/>
    <xf numFmtId="14" fontId="4" fillId="0" borderId="4" xfId="0" applyNumberFormat="1" applyFont="1" applyBorder="1" applyAlignment="1">
      <alignment horizontal="left"/>
    </xf>
    <xf numFmtId="166" fontId="4" fillId="0" borderId="4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 vertical="center"/>
    </xf>
    <xf numFmtId="164" fontId="0" fillId="0" borderId="0" xfId="0" applyNumberFormat="1"/>
    <xf numFmtId="164" fontId="3" fillId="0" borderId="0" xfId="0" applyNumberFormat="1" applyFont="1"/>
    <xf numFmtId="0" fontId="5" fillId="0" borderId="11" xfId="0" applyFont="1" applyBorder="1"/>
    <xf numFmtId="164" fontId="8" fillId="0" borderId="11" xfId="1" applyFont="1" applyFill="1" applyBorder="1" applyAlignment="1">
      <alignment horizontal="center" vertical="center"/>
    </xf>
    <xf numFmtId="0" fontId="4" fillId="2" borderId="14" xfId="0" applyFont="1" applyFill="1" applyBorder="1"/>
    <xf numFmtId="0" fontId="4" fillId="0" borderId="14" xfId="0" applyFont="1" applyBorder="1"/>
    <xf numFmtId="0" fontId="6" fillId="2" borderId="11" xfId="0" applyFont="1" applyFill="1" applyBorder="1" applyAlignment="1">
      <alignment vertical="top"/>
    </xf>
    <xf numFmtId="0" fontId="6" fillId="2" borderId="11" xfId="0" applyFont="1" applyFill="1" applyBorder="1"/>
    <xf numFmtId="0" fontId="6" fillId="2" borderId="5" xfId="0" applyFont="1" applyFill="1" applyBorder="1"/>
    <xf numFmtId="0" fontId="14" fillId="2" borderId="14" xfId="0" applyFont="1" applyFill="1" applyBorder="1"/>
    <xf numFmtId="0" fontId="6" fillId="2" borderId="14" xfId="0" applyFont="1" applyFill="1" applyBorder="1" applyAlignment="1">
      <alignment horizontal="center"/>
    </xf>
    <xf numFmtId="0" fontId="6" fillId="2" borderId="14" xfId="0" applyFont="1" applyFill="1" applyBorder="1"/>
    <xf numFmtId="0" fontId="6" fillId="0" borderId="14" xfId="0" applyFont="1" applyBorder="1"/>
    <xf numFmtId="164" fontId="2" fillId="0" borderId="11" xfId="0" applyNumberFormat="1" applyFont="1" applyBorder="1"/>
    <xf numFmtId="14" fontId="15" fillId="0" borderId="2" xfId="0" applyNumberFormat="1" applyFont="1" applyBorder="1" applyAlignment="1">
      <alignment horizontal="left"/>
    </xf>
    <xf numFmtId="0" fontId="16" fillId="0" borderId="0" xfId="0" applyFont="1"/>
    <xf numFmtId="14" fontId="16" fillId="0" borderId="0" xfId="0" applyNumberFormat="1" applyFont="1" applyAlignment="1">
      <alignment horizontal="left"/>
    </xf>
    <xf numFmtId="14" fontId="17" fillId="0" borderId="2" xfId="0" applyNumberFormat="1" applyFont="1" applyBorder="1" applyAlignment="1">
      <alignment horizontal="left" vertical="center"/>
    </xf>
    <xf numFmtId="164" fontId="15" fillId="0" borderId="2" xfId="1" applyFont="1" applyBorder="1" applyAlignment="1">
      <alignment horizontal="center" vertical="center"/>
    </xf>
    <xf numFmtId="14" fontId="15" fillId="0" borderId="0" xfId="0" applyNumberFormat="1" applyFont="1" applyAlignment="1">
      <alignment horizontal="left"/>
    </xf>
    <xf numFmtId="0" fontId="15" fillId="0" borderId="0" xfId="0" applyFont="1"/>
    <xf numFmtId="0" fontId="19" fillId="2" borderId="14" xfId="0" applyFont="1" applyFill="1" applyBorder="1"/>
    <xf numFmtId="0" fontId="16" fillId="2" borderId="14" xfId="0" applyFont="1" applyFill="1" applyBorder="1" applyAlignment="1">
      <alignment horizontal="center"/>
    </xf>
    <xf numFmtId="0" fontId="15" fillId="2" borderId="14" xfId="0" applyFont="1" applyFill="1" applyBorder="1"/>
    <xf numFmtId="0" fontId="15" fillId="0" borderId="14" xfId="0" applyFont="1" applyBorder="1"/>
    <xf numFmtId="0" fontId="16" fillId="2" borderId="11" xfId="0" applyFont="1" applyFill="1" applyBorder="1" applyAlignment="1">
      <alignment vertical="top"/>
    </xf>
    <xf numFmtId="0" fontId="16" fillId="2" borderId="11" xfId="0" applyFont="1" applyFill="1" applyBorder="1"/>
    <xf numFmtId="0" fontId="16" fillId="2" borderId="5" xfId="0" applyFont="1" applyFill="1" applyBorder="1"/>
    <xf numFmtId="0" fontId="20" fillId="0" borderId="1" xfId="0" applyFont="1" applyBorder="1"/>
    <xf numFmtId="164" fontId="15" fillId="0" borderId="0" xfId="1" applyFont="1" applyAlignment="1">
      <alignment horizontal="center" vertical="center"/>
    </xf>
    <xf numFmtId="164" fontId="15" fillId="0" borderId="0" xfId="1" applyFont="1" applyFill="1" applyAlignment="1">
      <alignment horizontal="center" vertical="center"/>
    </xf>
    <xf numFmtId="164" fontId="15" fillId="0" borderId="2" xfId="1" applyFont="1" applyBorder="1" applyAlignment="1">
      <alignment horizontal="center"/>
    </xf>
    <xf numFmtId="164" fontId="15" fillId="0" borderId="2" xfId="1" applyFont="1" applyFill="1" applyBorder="1" applyAlignment="1">
      <alignment horizontal="center"/>
    </xf>
    <xf numFmtId="164" fontId="11" fillId="0" borderId="2" xfId="1" applyFont="1" applyFill="1" applyBorder="1" applyAlignment="1">
      <alignment horizontal="center"/>
    </xf>
    <xf numFmtId="164" fontId="15" fillId="0" borderId="2" xfId="1" applyFont="1" applyFill="1" applyBorder="1" applyAlignment="1">
      <alignment horizontal="center" vertical="center"/>
    </xf>
    <xf numFmtId="164" fontId="15" fillId="0" borderId="0" xfId="1" applyFont="1" applyAlignment="1">
      <alignment horizontal="center"/>
    </xf>
    <xf numFmtId="164" fontId="15" fillId="0" borderId="0" xfId="1" applyFont="1" applyFill="1" applyAlignment="1">
      <alignment horizontal="center"/>
    </xf>
    <xf numFmtId="164" fontId="15" fillId="0" borderId="11" xfId="1" applyFont="1" applyBorder="1" applyAlignment="1">
      <alignment horizontal="center"/>
    </xf>
    <xf numFmtId="164" fontId="15" fillId="0" borderId="11" xfId="1" applyFont="1" applyFill="1" applyBorder="1" applyAlignment="1">
      <alignment horizontal="center"/>
    </xf>
    <xf numFmtId="164" fontId="11" fillId="0" borderId="11" xfId="1" applyFont="1" applyFill="1" applyBorder="1" applyAlignment="1">
      <alignment horizontal="center"/>
    </xf>
    <xf numFmtId="164" fontId="15" fillId="0" borderId="11" xfId="1" applyFont="1" applyFill="1" applyBorder="1" applyAlignment="1">
      <alignment horizontal="center" vertical="center"/>
    </xf>
    <xf numFmtId="164" fontId="15" fillId="0" borderId="11" xfId="1" applyFont="1" applyBorder="1" applyAlignment="1">
      <alignment horizontal="center" vertical="center"/>
    </xf>
    <xf numFmtId="14" fontId="15" fillId="0" borderId="11" xfId="0" applyNumberFormat="1" applyFont="1" applyBorder="1" applyAlignment="1">
      <alignment horizontal="left"/>
    </xf>
    <xf numFmtId="14" fontId="15" fillId="0" borderId="2" xfId="0" applyNumberFormat="1" applyFont="1" applyBorder="1" applyAlignment="1">
      <alignment horizontal="left" vertical="center"/>
    </xf>
    <xf numFmtId="164" fontId="11" fillId="0" borderId="2" xfId="1" applyFont="1" applyBorder="1" applyAlignment="1">
      <alignment horizontal="center" vertical="center"/>
    </xf>
    <xf numFmtId="164" fontId="15" fillId="0" borderId="6" xfId="1" applyFont="1" applyBorder="1" applyAlignment="1">
      <alignment horizontal="center"/>
    </xf>
    <xf numFmtId="164" fontId="15" fillId="0" borderId="6" xfId="1" applyFont="1" applyFill="1" applyBorder="1" applyAlignment="1">
      <alignment horizontal="center"/>
    </xf>
    <xf numFmtId="164" fontId="11" fillId="0" borderId="11" xfId="1" applyFont="1" applyFill="1" applyBorder="1" applyAlignment="1">
      <alignment horizontal="center" vertical="center"/>
    </xf>
    <xf numFmtId="14" fontId="17" fillId="0" borderId="11" xfId="0" applyNumberFormat="1" applyFont="1" applyBorder="1" applyAlignment="1">
      <alignment horizontal="left" vertical="center"/>
    </xf>
    <xf numFmtId="0" fontId="16" fillId="2" borderId="14" xfId="0" applyFont="1" applyFill="1" applyBorder="1"/>
    <xf numFmtId="0" fontId="16" fillId="0" borderId="14" xfId="0" applyFont="1" applyBorder="1"/>
    <xf numFmtId="0" fontId="20" fillId="0" borderId="7" xfId="0" applyFont="1" applyBorder="1"/>
    <xf numFmtId="164" fontId="15" fillId="0" borderId="13" xfId="1" applyFont="1" applyBorder="1" applyAlignment="1"/>
    <xf numFmtId="14" fontId="11" fillId="0" borderId="2" xfId="0" applyNumberFormat="1" applyFont="1" applyBorder="1" applyAlignment="1">
      <alignment horizontal="left"/>
    </xf>
    <xf numFmtId="164" fontId="21" fillId="0" borderId="0" xfId="1" applyFont="1"/>
    <xf numFmtId="164" fontId="21" fillId="0" borderId="0" xfId="1" applyFont="1" applyFill="1"/>
    <xf numFmtId="164" fontId="21" fillId="0" borderId="0" xfId="1" applyFont="1" applyFill="1" applyAlignment="1">
      <alignment horizontal="center"/>
    </xf>
    <xf numFmtId="164" fontId="21" fillId="0" borderId="0" xfId="1" applyFont="1" applyFill="1" applyAlignment="1">
      <alignment horizontal="center" vertical="center"/>
    </xf>
    <xf numFmtId="164" fontId="21" fillId="0" borderId="0" xfId="1" applyFont="1" applyAlignment="1">
      <alignment horizontal="center" vertical="center"/>
    </xf>
    <xf numFmtId="164" fontId="15" fillId="0" borderId="6" xfId="1" applyFont="1" applyBorder="1" applyAlignment="1"/>
    <xf numFmtId="166" fontId="15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center" vertical="center"/>
    </xf>
    <xf numFmtId="164" fontId="11" fillId="0" borderId="0" xfId="1" applyFont="1" applyFill="1" applyAlignment="1">
      <alignment horizontal="center"/>
    </xf>
    <xf numFmtId="0" fontId="20" fillId="0" borderId="11" xfId="0" applyFont="1" applyBorder="1"/>
    <xf numFmtId="0" fontId="15" fillId="0" borderId="11" xfId="0" applyFont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3" fillId="0" borderId="5" xfId="0" applyFont="1" applyBorder="1"/>
    <xf numFmtId="164" fontId="22" fillId="0" borderId="0" xfId="1" applyFont="1" applyAlignment="1">
      <alignment horizontal="center"/>
    </xf>
    <xf numFmtId="164" fontId="22" fillId="0" borderId="0" xfId="1" applyFont="1" applyFill="1" applyAlignment="1">
      <alignment horizontal="center"/>
    </xf>
    <xf numFmtId="164" fontId="22" fillId="0" borderId="0" xfId="1" applyFont="1" applyFill="1" applyAlignment="1">
      <alignment horizontal="center" vertical="center"/>
    </xf>
    <xf numFmtId="164" fontId="22" fillId="0" borderId="0" xfId="1" applyFont="1" applyAlignment="1">
      <alignment horizontal="center" vertical="center"/>
    </xf>
    <xf numFmtId="0" fontId="23" fillId="2" borderId="11" xfId="0" applyFont="1" applyFill="1" applyBorder="1"/>
    <xf numFmtId="0" fontId="23" fillId="0" borderId="0" xfId="0" applyFont="1"/>
    <xf numFmtId="0" fontId="24" fillId="0" borderId="0" xfId="0" applyFont="1"/>
    <xf numFmtId="14" fontId="25" fillId="0" borderId="0" xfId="0" applyNumberFormat="1" applyFont="1" applyAlignment="1">
      <alignment horizontal="left"/>
    </xf>
    <xf numFmtId="0" fontId="25" fillId="2" borderId="14" xfId="0" applyFont="1" applyFill="1" applyBorder="1" applyAlignment="1">
      <alignment horizontal="center"/>
    </xf>
    <xf numFmtId="0" fontId="28" fillId="2" borderId="14" xfId="0" applyFont="1" applyFill="1" applyBorder="1"/>
    <xf numFmtId="0" fontId="28" fillId="0" borderId="14" xfId="0" applyFont="1" applyBorder="1"/>
    <xf numFmtId="0" fontId="25" fillId="2" borderId="11" xfId="0" applyFont="1" applyFill="1" applyBorder="1" applyAlignment="1">
      <alignment vertical="top"/>
    </xf>
    <xf numFmtId="0" fontId="25" fillId="2" borderId="11" xfId="0" applyFont="1" applyFill="1" applyBorder="1"/>
    <xf numFmtId="0" fontId="25" fillId="2" borderId="5" xfId="0" applyFont="1" applyFill="1" applyBorder="1"/>
    <xf numFmtId="0" fontId="30" fillId="0" borderId="1" xfId="0" applyFont="1" applyBorder="1"/>
    <xf numFmtId="164" fontId="28" fillId="0" borderId="0" xfId="1" applyFont="1" applyAlignment="1">
      <alignment horizontal="center" vertical="center"/>
    </xf>
    <xf numFmtId="164" fontId="28" fillId="0" borderId="0" xfId="1" applyFont="1" applyFill="1" applyAlignment="1">
      <alignment horizontal="center" vertical="center"/>
    </xf>
    <xf numFmtId="14" fontId="28" fillId="0" borderId="0" xfId="0" applyNumberFormat="1" applyFont="1" applyAlignment="1">
      <alignment horizontal="left"/>
    </xf>
    <xf numFmtId="14" fontId="28" fillId="0" borderId="2" xfId="0" applyNumberFormat="1" applyFont="1" applyBorder="1" applyAlignment="1">
      <alignment horizontal="left"/>
    </xf>
    <xf numFmtId="164" fontId="28" fillId="0" borderId="2" xfId="1" applyFont="1" applyBorder="1" applyAlignment="1">
      <alignment horizontal="center"/>
    </xf>
    <xf numFmtId="164" fontId="28" fillId="0" borderId="2" xfId="1" applyFont="1" applyFill="1" applyBorder="1" applyAlignment="1">
      <alignment horizontal="center"/>
    </xf>
    <xf numFmtId="164" fontId="28" fillId="0" borderId="2" xfId="1" applyFont="1" applyFill="1" applyBorder="1" applyAlignment="1">
      <alignment horizontal="center" vertical="center"/>
    </xf>
    <xf numFmtId="164" fontId="28" fillId="0" borderId="2" xfId="1" applyFont="1" applyBorder="1" applyAlignment="1">
      <alignment horizontal="center" vertical="center"/>
    </xf>
    <xf numFmtId="164" fontId="28" fillId="0" borderId="0" xfId="1" applyFont="1" applyAlignment="1">
      <alignment horizontal="center"/>
    </xf>
    <xf numFmtId="164" fontId="28" fillId="0" borderId="0" xfId="1" applyFont="1" applyFill="1" applyAlignment="1">
      <alignment horizontal="center"/>
    </xf>
    <xf numFmtId="0" fontId="28" fillId="0" borderId="0" xfId="0" applyFont="1"/>
    <xf numFmtId="164" fontId="28" fillId="0" borderId="11" xfId="1" applyFont="1" applyBorder="1" applyAlignment="1">
      <alignment horizontal="center"/>
    </xf>
    <xf numFmtId="164" fontId="28" fillId="0" borderId="11" xfId="1" applyFont="1" applyFill="1" applyBorder="1" applyAlignment="1">
      <alignment horizontal="center"/>
    </xf>
    <xf numFmtId="164" fontId="28" fillId="0" borderId="11" xfId="1" applyFont="1" applyFill="1" applyBorder="1" applyAlignment="1">
      <alignment horizontal="center" vertical="center"/>
    </xf>
    <xf numFmtId="164" fontId="28" fillId="0" borderId="11" xfId="1" applyFont="1" applyBorder="1" applyAlignment="1">
      <alignment horizontal="center" vertical="center"/>
    </xf>
    <xf numFmtId="14" fontId="28" fillId="0" borderId="11" xfId="0" applyNumberFormat="1" applyFont="1" applyBorder="1" applyAlignment="1">
      <alignment horizontal="left"/>
    </xf>
    <xf numFmtId="14" fontId="28" fillId="0" borderId="2" xfId="0" applyNumberFormat="1" applyFont="1" applyBorder="1" applyAlignment="1">
      <alignment horizontal="left" vertical="center"/>
    </xf>
    <xf numFmtId="0" fontId="25" fillId="0" borderId="0" xfId="0" applyFont="1"/>
    <xf numFmtId="164" fontId="28" fillId="0" borderId="6" xfId="1" applyFont="1" applyBorder="1" applyAlignment="1">
      <alignment horizontal="center"/>
    </xf>
    <xf numFmtId="164" fontId="28" fillId="0" borderId="6" xfId="1" applyFont="1" applyFill="1" applyBorder="1" applyAlignment="1">
      <alignment horizontal="center"/>
    </xf>
    <xf numFmtId="14" fontId="32" fillId="0" borderId="2" xfId="0" applyNumberFormat="1" applyFont="1" applyBorder="1" applyAlignment="1">
      <alignment horizontal="left" vertical="center"/>
    </xf>
    <xf numFmtId="14" fontId="32" fillId="0" borderId="11" xfId="0" applyNumberFormat="1" applyFont="1" applyBorder="1" applyAlignment="1">
      <alignment horizontal="left" vertical="center"/>
    </xf>
    <xf numFmtId="0" fontId="25" fillId="2" borderId="14" xfId="0" applyFont="1" applyFill="1" applyBorder="1"/>
    <xf numFmtId="0" fontId="25" fillId="0" borderId="14" xfId="0" applyFont="1" applyBorder="1"/>
    <xf numFmtId="0" fontId="30" fillId="0" borderId="7" xfId="0" applyFont="1" applyBorder="1"/>
    <xf numFmtId="164" fontId="28" fillId="0" borderId="13" xfId="1" applyFont="1" applyBorder="1" applyAlignment="1"/>
    <xf numFmtId="164" fontId="33" fillId="0" borderId="0" xfId="1" applyFont="1"/>
    <xf numFmtId="164" fontId="33" fillId="0" borderId="0" xfId="1" applyFont="1" applyFill="1"/>
    <xf numFmtId="164" fontId="33" fillId="0" borderId="0" xfId="1" applyFont="1" applyFill="1" applyAlignment="1">
      <alignment horizontal="center"/>
    </xf>
    <xf numFmtId="164" fontId="33" fillId="0" borderId="0" xfId="1" applyFont="1" applyFill="1" applyAlignment="1">
      <alignment horizontal="center" vertical="center"/>
    </xf>
    <xf numFmtId="164" fontId="33" fillId="0" borderId="0" xfId="1" applyFont="1" applyAlignment="1">
      <alignment horizontal="center" vertical="center"/>
    </xf>
    <xf numFmtId="164" fontId="28" fillId="0" borderId="6" xfId="1" applyFont="1" applyBorder="1" applyAlignment="1"/>
    <xf numFmtId="166" fontId="28" fillId="0" borderId="0" xfId="0" applyNumberFormat="1" applyFont="1" applyAlignment="1">
      <alignment horizontal="center"/>
    </xf>
    <xf numFmtId="166" fontId="28" fillId="0" borderId="0" xfId="0" applyNumberFormat="1" applyFont="1" applyAlignment="1">
      <alignment horizontal="center" vertical="center"/>
    </xf>
    <xf numFmtId="0" fontId="31" fillId="0" borderId="1" xfId="0" applyFont="1" applyBorder="1"/>
    <xf numFmtId="0" fontId="28" fillId="0" borderId="1" xfId="0" applyFont="1" applyBorder="1" applyAlignment="1">
      <alignment vertical="center"/>
    </xf>
    <xf numFmtId="166" fontId="0" fillId="0" borderId="0" xfId="0" applyNumberFormat="1"/>
    <xf numFmtId="164" fontId="31" fillId="0" borderId="1" xfId="0" applyNumberFormat="1" applyFont="1" applyBorder="1"/>
    <xf numFmtId="44" fontId="0" fillId="0" borderId="0" xfId="0" applyNumberFormat="1"/>
    <xf numFmtId="0" fontId="30" fillId="0" borderId="5" xfId="0" applyFont="1" applyBorder="1"/>
    <xf numFmtId="0" fontId="25" fillId="2" borderId="16" xfId="0" applyFont="1" applyFill="1" applyBorder="1"/>
    <xf numFmtId="0" fontId="30" fillId="0" borderId="17" xfId="0" applyFont="1" applyBorder="1"/>
    <xf numFmtId="14" fontId="8" fillId="0" borderId="18" xfId="0" applyNumberFormat="1" applyFont="1" applyBorder="1" applyAlignment="1">
      <alignment horizontal="left"/>
    </xf>
    <xf numFmtId="14" fontId="28" fillId="0" borderId="18" xfId="0" applyNumberFormat="1" applyFont="1" applyBorder="1" applyAlignment="1">
      <alignment horizontal="left"/>
    </xf>
    <xf numFmtId="14" fontId="4" fillId="0" borderId="0" xfId="0" applyNumberFormat="1" applyFont="1" applyAlignment="1">
      <alignment horizontal="center"/>
    </xf>
    <xf numFmtId="0" fontId="0" fillId="0" borderId="0" xfId="0"/>
    <xf numFmtId="0" fontId="4" fillId="2" borderId="3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4" xfId="0" applyFont="1" applyBorder="1"/>
    <xf numFmtId="0" fontId="4" fillId="2" borderId="3" xfId="0" applyFont="1" applyFill="1" applyBorder="1" applyAlignment="1">
      <alignment horizontal="center" vertical="center"/>
    </xf>
    <xf numFmtId="14" fontId="1" fillId="3" borderId="8" xfId="0" applyNumberFormat="1" applyFont="1" applyFill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5" xfId="0" applyFont="1" applyBorder="1"/>
    <xf numFmtId="0" fontId="1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64" fontId="4" fillId="0" borderId="6" xfId="1" applyFont="1" applyBorder="1" applyAlignment="1">
      <alignment horizontal="center"/>
    </xf>
    <xf numFmtId="164" fontId="4" fillId="0" borderId="6" xfId="1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13" fillId="0" borderId="11" xfId="0" applyFont="1" applyBorder="1"/>
    <xf numFmtId="0" fontId="13" fillId="0" borderId="5" xfId="0" applyFont="1" applyBorder="1"/>
    <xf numFmtId="0" fontId="6" fillId="2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164" fontId="26" fillId="0" borderId="11" xfId="1" applyFont="1" applyBorder="1" applyAlignment="1">
      <alignment horizontal="center"/>
    </xf>
    <xf numFmtId="0" fontId="25" fillId="2" borderId="11" xfId="0" applyFont="1" applyFill="1" applyBorder="1" applyAlignment="1">
      <alignment horizontal="center" vertical="center" wrapText="1"/>
    </xf>
    <xf numFmtId="0" fontId="29" fillId="0" borderId="11" xfId="0" applyFont="1" applyBorder="1"/>
    <xf numFmtId="0" fontId="29" fillId="0" borderId="5" xfId="0" applyFont="1" applyBorder="1"/>
    <xf numFmtId="0" fontId="25" fillId="2" borderId="15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/>
    </xf>
    <xf numFmtId="0" fontId="25" fillId="2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31" fillId="0" borderId="1" xfId="0" applyFont="1" applyBorder="1"/>
    <xf numFmtId="0" fontId="31" fillId="0" borderId="11" xfId="0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00"/>
  <sheetViews>
    <sheetView workbookViewId="0"/>
  </sheetViews>
  <sheetFormatPr defaultColWidth="12.625" defaultRowHeight="15" customHeight="1" x14ac:dyDescent="0.2"/>
  <cols>
    <col min="1" max="1" width="7.625" customWidth="1"/>
    <col min="2" max="2" width="9.375" customWidth="1"/>
    <col min="3" max="7" width="7.625" customWidth="1"/>
    <col min="8" max="8" width="13.875" customWidth="1"/>
    <col min="9" max="11" width="7.625" customWidth="1"/>
    <col min="12" max="12" width="17.125" customWidth="1"/>
    <col min="13" max="13" width="16" customWidth="1"/>
    <col min="14" max="33" width="7.625" customWidth="1"/>
  </cols>
  <sheetData>
    <row r="1" spans="1:18" x14ac:dyDescent="0.25">
      <c r="A1" s="238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52"/>
      <c r="O1" s="1"/>
      <c r="P1" s="1"/>
      <c r="Q1" s="1"/>
      <c r="R1" s="1"/>
    </row>
    <row r="2" spans="1:18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52"/>
      <c r="O2" s="1"/>
      <c r="P2" s="1"/>
      <c r="Q2" s="1"/>
      <c r="R2" s="1"/>
    </row>
    <row r="3" spans="1:18" x14ac:dyDescent="0.25">
      <c r="A3" s="90" t="s">
        <v>1</v>
      </c>
      <c r="B3" s="89">
        <v>2019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52"/>
      <c r="O3" s="1"/>
      <c r="P3" s="1"/>
      <c r="Q3" s="1"/>
      <c r="R3" s="1"/>
    </row>
    <row r="4" spans="1:18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52"/>
      <c r="O4" s="1"/>
      <c r="P4" s="1"/>
      <c r="Q4" s="1"/>
      <c r="R4" s="1"/>
    </row>
    <row r="5" spans="1:18" x14ac:dyDescent="0.25">
      <c r="A5" s="91" t="s">
        <v>2</v>
      </c>
      <c r="B5" s="231" t="s">
        <v>3</v>
      </c>
      <c r="C5" s="231" t="s">
        <v>4</v>
      </c>
      <c r="D5" s="228" t="s">
        <v>5</v>
      </c>
      <c r="E5" s="228" t="s">
        <v>6</v>
      </c>
      <c r="F5" s="228" t="s">
        <v>7</v>
      </c>
      <c r="G5" s="231" t="s">
        <v>8</v>
      </c>
      <c r="H5" s="228" t="s">
        <v>9</v>
      </c>
      <c r="I5" s="231" t="s">
        <v>10</v>
      </c>
      <c r="J5" s="231" t="s">
        <v>11</v>
      </c>
      <c r="K5" s="228" t="s">
        <v>12</v>
      </c>
      <c r="L5" s="228" t="s">
        <v>13</v>
      </c>
      <c r="M5" s="228" t="s">
        <v>14</v>
      </c>
      <c r="N5" s="52"/>
      <c r="O5" s="1"/>
      <c r="P5" s="1"/>
      <c r="Q5" s="1"/>
      <c r="R5" s="1"/>
    </row>
    <row r="6" spans="1:18" x14ac:dyDescent="0.25">
      <c r="A6" s="90" t="s">
        <v>15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52"/>
      <c r="O6" s="1"/>
      <c r="P6" s="1"/>
      <c r="Q6" s="1"/>
      <c r="R6" s="1"/>
    </row>
    <row r="7" spans="1:18" x14ac:dyDescent="0.25">
      <c r="A7" s="92" t="s">
        <v>16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52"/>
      <c r="O7" s="1"/>
      <c r="P7" s="1"/>
      <c r="Q7" s="1"/>
      <c r="R7" s="1"/>
    </row>
    <row r="8" spans="1:18" x14ac:dyDescent="0.25">
      <c r="A8" s="2" t="s">
        <v>17</v>
      </c>
      <c r="B8" s="235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52"/>
      <c r="O8" s="1"/>
      <c r="P8" s="1"/>
      <c r="Q8" s="1"/>
      <c r="R8" s="1"/>
    </row>
    <row r="9" spans="1:18" x14ac:dyDescent="0.25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2"/>
      <c r="O9" s="1"/>
      <c r="P9" s="1"/>
      <c r="Q9" s="1"/>
      <c r="R9" s="1"/>
    </row>
    <row r="10" spans="1:18" x14ac:dyDescent="0.25">
      <c r="A10" s="5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2"/>
      <c r="O10" s="1"/>
      <c r="P10" s="1"/>
      <c r="Q10" s="1"/>
      <c r="R10" s="1"/>
    </row>
    <row r="11" spans="1:18" x14ac:dyDescent="0.25">
      <c r="A11" s="6">
        <v>43544</v>
      </c>
      <c r="B11" s="7">
        <v>6000</v>
      </c>
      <c r="C11" s="7"/>
      <c r="D11" s="7"/>
      <c r="E11" s="7"/>
      <c r="F11" s="7"/>
      <c r="G11" s="7"/>
      <c r="H11" s="7">
        <v>6000</v>
      </c>
      <c r="I11" s="7">
        <v>604</v>
      </c>
      <c r="J11" s="7">
        <v>642.33000000000004</v>
      </c>
      <c r="K11" s="7"/>
      <c r="L11" s="7">
        <v>1246.33</v>
      </c>
      <c r="M11" s="7">
        <v>4753.67</v>
      </c>
      <c r="N11" s="52"/>
      <c r="O11" s="1"/>
      <c r="P11" s="1"/>
      <c r="Q11" s="1"/>
      <c r="R11" s="1"/>
    </row>
    <row r="12" spans="1:18" x14ac:dyDescent="0.25">
      <c r="A12" s="8" t="s">
        <v>20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52"/>
      <c r="O12" s="1"/>
      <c r="P12" s="1"/>
      <c r="Q12" s="1"/>
      <c r="R12" s="1"/>
    </row>
    <row r="13" spans="1:18" x14ac:dyDescent="0.25">
      <c r="A13" s="10" t="s">
        <v>21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52"/>
      <c r="O13" s="1"/>
      <c r="P13" s="1"/>
      <c r="Q13" s="1"/>
      <c r="R13" s="1"/>
    </row>
    <row r="14" spans="1:18" x14ac:dyDescent="0.25">
      <c r="A14" s="6">
        <v>43606</v>
      </c>
      <c r="B14" s="11">
        <v>496.77</v>
      </c>
      <c r="C14" s="11"/>
      <c r="D14" s="11"/>
      <c r="E14" s="11"/>
      <c r="F14" s="11"/>
      <c r="G14" s="11"/>
      <c r="H14" s="7">
        <v>496.77</v>
      </c>
      <c r="I14" s="7"/>
      <c r="J14" s="7">
        <v>39.74</v>
      </c>
      <c r="K14" s="7"/>
      <c r="L14" s="7">
        <v>39.74</v>
      </c>
      <c r="M14" s="7">
        <v>457.03</v>
      </c>
      <c r="N14" s="52"/>
      <c r="O14" s="1"/>
      <c r="P14" s="1"/>
      <c r="Q14" s="1"/>
      <c r="R14" s="1"/>
    </row>
    <row r="15" spans="1:18" x14ac:dyDescent="0.25">
      <c r="A15" s="3" t="s">
        <v>22</v>
      </c>
      <c r="B15" s="12"/>
      <c r="C15" s="1"/>
      <c r="D15" s="1"/>
      <c r="E15" s="1"/>
      <c r="F15" s="13"/>
      <c r="G15" s="1"/>
      <c r="H15" s="1"/>
      <c r="I15" s="1"/>
      <c r="J15" s="1"/>
      <c r="K15" s="1"/>
      <c r="L15" s="1"/>
      <c r="M15" s="1"/>
      <c r="N15" s="52"/>
      <c r="O15" s="1"/>
      <c r="P15" s="1"/>
      <c r="Q15" s="1"/>
      <c r="R15" s="1"/>
    </row>
    <row r="16" spans="1:18" x14ac:dyDescent="0.25">
      <c r="A16" s="5" t="s">
        <v>23</v>
      </c>
      <c r="B16" s="12"/>
      <c r="C16" s="1"/>
      <c r="D16" s="1"/>
      <c r="E16" s="1"/>
      <c r="F16" s="13"/>
      <c r="G16" s="1"/>
      <c r="H16" s="1"/>
      <c r="I16" s="1"/>
      <c r="J16" s="1"/>
      <c r="K16" s="1"/>
      <c r="L16" s="1"/>
      <c r="M16" s="1"/>
      <c r="N16" s="52"/>
      <c r="O16" s="1"/>
      <c r="P16" s="1"/>
      <c r="Q16" s="1"/>
      <c r="R16" s="1"/>
    </row>
    <row r="17" spans="1:33" x14ac:dyDescent="0.25">
      <c r="A17" s="6">
        <v>43507</v>
      </c>
      <c r="B17" s="11">
        <v>2000</v>
      </c>
      <c r="C17" s="11"/>
      <c r="D17" s="11"/>
      <c r="E17" s="11"/>
      <c r="F17" s="11"/>
      <c r="G17" s="11"/>
      <c r="H17" s="7">
        <v>2000</v>
      </c>
      <c r="I17" s="7"/>
      <c r="J17" s="7">
        <v>180</v>
      </c>
      <c r="K17" s="7">
        <v>120</v>
      </c>
      <c r="L17" s="7">
        <v>300</v>
      </c>
      <c r="M17" s="7">
        <v>1700</v>
      </c>
      <c r="N17" s="5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25">
      <c r="A18" s="8" t="s">
        <v>24</v>
      </c>
      <c r="B18" s="12"/>
      <c r="C18" s="12"/>
      <c r="D18" s="12"/>
      <c r="E18" s="12"/>
      <c r="F18" s="12"/>
      <c r="G18" s="12"/>
      <c r="H18" s="9"/>
      <c r="I18" s="9"/>
      <c r="J18" s="9"/>
      <c r="K18" s="9"/>
      <c r="L18" s="9"/>
      <c r="M18" s="9"/>
      <c r="N18" s="5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25">
      <c r="A19" s="10" t="s">
        <v>21</v>
      </c>
      <c r="B19" s="12"/>
      <c r="C19" s="12"/>
      <c r="D19" s="12"/>
      <c r="E19" s="12"/>
      <c r="F19" s="12"/>
      <c r="G19" s="12"/>
      <c r="H19" s="9"/>
      <c r="I19" s="9"/>
      <c r="J19" s="9"/>
      <c r="K19" s="9"/>
      <c r="L19" s="9"/>
      <c r="M19" s="9"/>
      <c r="N19" s="5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x14ac:dyDescent="0.25">
      <c r="A20" s="6">
        <v>43606</v>
      </c>
      <c r="B20" s="11">
        <v>496.77</v>
      </c>
      <c r="C20" s="11"/>
      <c r="D20" s="11"/>
      <c r="E20" s="11"/>
      <c r="F20" s="11"/>
      <c r="G20" s="11"/>
      <c r="H20" s="7">
        <v>496.77</v>
      </c>
      <c r="I20" s="7"/>
      <c r="J20" s="7">
        <v>39.74</v>
      </c>
      <c r="K20" s="7"/>
      <c r="L20" s="7">
        <v>39.74</v>
      </c>
      <c r="M20" s="7">
        <v>457.03</v>
      </c>
      <c r="N20" s="5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75" customHeight="1" x14ac:dyDescent="0.25">
      <c r="A21" s="3" t="s">
        <v>25</v>
      </c>
      <c r="B21" s="12"/>
      <c r="C21" s="1"/>
      <c r="D21" s="1"/>
      <c r="E21" s="1"/>
      <c r="F21" s="13"/>
      <c r="G21" s="1"/>
      <c r="H21" s="1"/>
      <c r="I21" s="1"/>
      <c r="J21" s="1"/>
      <c r="K21" s="1"/>
      <c r="L21" s="1"/>
      <c r="M21" s="1"/>
      <c r="N21" s="5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75" customHeight="1" x14ac:dyDescent="0.25">
      <c r="A22" s="5" t="s">
        <v>26</v>
      </c>
      <c r="B22" s="12"/>
      <c r="C22" s="1"/>
      <c r="D22" s="1"/>
      <c r="E22" s="1"/>
      <c r="F22" s="13"/>
      <c r="G22" s="1"/>
      <c r="H22" s="1"/>
      <c r="I22" s="1"/>
      <c r="J22" s="1"/>
      <c r="K22" s="1"/>
      <c r="L22" s="1"/>
      <c r="M22" s="1"/>
      <c r="N22" s="5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75" customHeight="1" x14ac:dyDescent="0.25">
      <c r="A23" s="6">
        <v>43507</v>
      </c>
      <c r="B23" s="11">
        <v>6000</v>
      </c>
      <c r="C23" s="11"/>
      <c r="D23" s="11"/>
      <c r="E23" s="11"/>
      <c r="F23" s="11"/>
      <c r="G23" s="11"/>
      <c r="H23" s="7">
        <v>6000</v>
      </c>
      <c r="I23" s="7">
        <v>604</v>
      </c>
      <c r="J23" s="7">
        <v>642.33000000000004</v>
      </c>
      <c r="K23" s="7"/>
      <c r="L23" s="7">
        <v>1246.33</v>
      </c>
      <c r="M23" s="7">
        <v>4753.67</v>
      </c>
      <c r="N23" s="5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75" customHeight="1" x14ac:dyDescent="0.25">
      <c r="A24" s="3" t="s">
        <v>27</v>
      </c>
      <c r="B24" s="12"/>
      <c r="C24" s="1"/>
      <c r="D24" s="1"/>
      <c r="E24" s="1"/>
      <c r="F24" s="13"/>
      <c r="G24" s="1"/>
      <c r="H24" s="1"/>
      <c r="I24" s="1"/>
      <c r="J24" s="1"/>
      <c r="K24" s="1"/>
      <c r="L24" s="1"/>
      <c r="M24" s="1"/>
      <c r="N24" s="5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75" customHeight="1" x14ac:dyDescent="0.25">
      <c r="A25" s="5" t="s">
        <v>28</v>
      </c>
      <c r="B25" s="12"/>
      <c r="C25" s="1"/>
      <c r="D25" s="1"/>
      <c r="E25" s="1"/>
      <c r="F25" s="13"/>
      <c r="G25" s="1"/>
      <c r="H25" s="1"/>
      <c r="I25" s="1"/>
      <c r="J25" s="1"/>
      <c r="K25" s="1"/>
      <c r="L25" s="1"/>
      <c r="M25" s="1"/>
      <c r="N25" s="5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75" customHeight="1" x14ac:dyDescent="0.25">
      <c r="A26" s="6">
        <v>43507</v>
      </c>
      <c r="B26" s="11">
        <v>6000</v>
      </c>
      <c r="C26" s="11"/>
      <c r="D26" s="11"/>
      <c r="E26" s="11"/>
      <c r="F26" s="11"/>
      <c r="G26" s="11"/>
      <c r="H26" s="7">
        <v>6000</v>
      </c>
      <c r="I26" s="7">
        <v>499.72</v>
      </c>
      <c r="J26" s="7">
        <v>642.33000000000004</v>
      </c>
      <c r="K26" s="7"/>
      <c r="L26" s="7">
        <v>1142.0500000000002</v>
      </c>
      <c r="M26" s="7">
        <v>4857.95</v>
      </c>
      <c r="N26" s="5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75" customHeight="1" x14ac:dyDescent="0.25">
      <c r="A27" s="3" t="s">
        <v>29</v>
      </c>
      <c r="B27" s="12"/>
      <c r="C27" s="1"/>
      <c r="D27" s="1"/>
      <c r="E27" s="1"/>
      <c r="F27" s="13"/>
      <c r="G27" s="1"/>
      <c r="H27" s="1"/>
      <c r="I27" s="1"/>
      <c r="J27" s="1"/>
      <c r="K27" s="1"/>
      <c r="L27" s="1"/>
      <c r="M27" s="1"/>
      <c r="N27" s="5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75" customHeight="1" x14ac:dyDescent="0.25">
      <c r="A28" s="5" t="s">
        <v>30</v>
      </c>
      <c r="B28" s="12"/>
      <c r="C28" s="1"/>
      <c r="D28" s="1"/>
      <c r="E28" s="1"/>
      <c r="F28" s="13"/>
      <c r="G28" s="1"/>
      <c r="H28" s="1"/>
      <c r="I28" s="1"/>
      <c r="J28" s="1"/>
      <c r="K28" s="1"/>
      <c r="L28" s="1"/>
      <c r="M28" s="1"/>
      <c r="N28" s="5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75" customHeight="1" x14ac:dyDescent="0.25">
      <c r="A29" s="6">
        <v>43507</v>
      </c>
      <c r="B29" s="11">
        <v>6000</v>
      </c>
      <c r="C29" s="11"/>
      <c r="D29" s="11"/>
      <c r="E29" s="11"/>
      <c r="F29" s="11"/>
      <c r="G29" s="11"/>
      <c r="H29" s="7">
        <v>6000</v>
      </c>
      <c r="I29" s="7">
        <v>700.79</v>
      </c>
      <c r="J29" s="7">
        <v>290.38</v>
      </c>
      <c r="K29" s="7"/>
      <c r="L29" s="7">
        <v>991.17</v>
      </c>
      <c r="M29" s="7">
        <v>5008.83</v>
      </c>
      <c r="N29" s="5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75" customHeight="1" x14ac:dyDescent="0.25">
      <c r="A30" s="3" t="s">
        <v>31</v>
      </c>
      <c r="B30" s="12"/>
      <c r="C30" s="1"/>
      <c r="D30" s="1"/>
      <c r="E30" s="1"/>
      <c r="F30" s="13"/>
      <c r="G30" s="1"/>
      <c r="H30" s="1"/>
      <c r="I30" s="1"/>
      <c r="J30" s="1"/>
      <c r="K30" s="1"/>
      <c r="L30" s="1"/>
      <c r="M30" s="1"/>
      <c r="N30" s="5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75" customHeight="1" x14ac:dyDescent="0.25">
      <c r="A31" s="5" t="s">
        <v>32</v>
      </c>
      <c r="B31" s="12"/>
      <c r="C31" s="1"/>
      <c r="D31" s="1"/>
      <c r="E31" s="1"/>
      <c r="F31" s="13"/>
      <c r="G31" s="1"/>
      <c r="H31" s="1"/>
      <c r="I31" s="1"/>
      <c r="J31" s="1"/>
      <c r="K31" s="1"/>
      <c r="L31" s="1"/>
      <c r="M31" s="1"/>
      <c r="N31" s="5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75" customHeight="1" x14ac:dyDescent="0.25">
      <c r="A32" s="97">
        <v>43507</v>
      </c>
      <c r="B32" s="98">
        <v>7000</v>
      </c>
      <c r="C32" s="98"/>
      <c r="D32" s="98"/>
      <c r="E32" s="98"/>
      <c r="F32" s="98"/>
      <c r="G32" s="98"/>
      <c r="H32" s="7">
        <v>7000</v>
      </c>
      <c r="I32" s="7">
        <v>774.72</v>
      </c>
      <c r="J32" s="7">
        <v>642.33000000000004</v>
      </c>
      <c r="K32" s="7"/>
      <c r="L32" s="7">
        <v>1417.0500000000002</v>
      </c>
      <c r="M32" s="7">
        <v>5582.95</v>
      </c>
      <c r="N32" s="5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75" customHeight="1" x14ac:dyDescent="0.25">
      <c r="A33" s="14" t="s">
        <v>2</v>
      </c>
      <c r="B33" s="231" t="s">
        <v>3</v>
      </c>
      <c r="C33" s="231" t="s">
        <v>4</v>
      </c>
      <c r="D33" s="228" t="s">
        <v>5</v>
      </c>
      <c r="E33" s="228" t="s">
        <v>6</v>
      </c>
      <c r="F33" s="228" t="s">
        <v>7</v>
      </c>
      <c r="G33" s="231" t="s">
        <v>8</v>
      </c>
      <c r="H33" s="228" t="s">
        <v>9</v>
      </c>
      <c r="I33" s="231" t="s">
        <v>10</v>
      </c>
      <c r="J33" s="231" t="s">
        <v>11</v>
      </c>
      <c r="K33" s="228" t="s">
        <v>12</v>
      </c>
      <c r="L33" s="228" t="s">
        <v>13</v>
      </c>
      <c r="M33" s="228" t="s">
        <v>14</v>
      </c>
      <c r="N33" s="5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75" customHeight="1" x14ac:dyDescent="0.25">
      <c r="A34" s="90" t="s">
        <v>15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5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75" customHeight="1" x14ac:dyDescent="0.25">
      <c r="A35" s="96" t="s">
        <v>16</v>
      </c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5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75" customHeight="1" x14ac:dyDescent="0.25">
      <c r="A36" s="15" t="s">
        <v>33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5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75" customHeight="1" x14ac:dyDescent="0.25">
      <c r="A37" s="17" t="s">
        <v>34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5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75" customHeight="1" x14ac:dyDescent="0.25">
      <c r="A38" s="5" t="s">
        <v>35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5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 customHeight="1" x14ac:dyDescent="0.25">
      <c r="A39" s="6">
        <v>43525</v>
      </c>
      <c r="B39" s="19">
        <v>6000</v>
      </c>
      <c r="C39" s="19"/>
      <c r="D39" s="19"/>
      <c r="E39" s="19"/>
      <c r="F39" s="19"/>
      <c r="G39" s="19"/>
      <c r="H39" s="7">
        <v>6000</v>
      </c>
      <c r="I39" s="7">
        <v>551.86</v>
      </c>
      <c r="J39" s="7">
        <v>642.33000000000004</v>
      </c>
      <c r="K39" s="7"/>
      <c r="L39" s="7">
        <v>1194.19</v>
      </c>
      <c r="M39" s="20">
        <v>4805.8099999999995</v>
      </c>
      <c r="N39" s="5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 customHeight="1" x14ac:dyDescent="0.25">
      <c r="A40" s="3" t="s">
        <v>36</v>
      </c>
      <c r="B40" s="12"/>
      <c r="C40" s="1"/>
      <c r="D40" s="1"/>
      <c r="E40" s="1"/>
      <c r="F40" s="13"/>
      <c r="G40" s="1"/>
      <c r="H40" s="1"/>
      <c r="I40" s="1"/>
      <c r="J40" s="1"/>
      <c r="K40" s="1"/>
      <c r="L40" s="1"/>
      <c r="M40" s="21"/>
      <c r="N40" s="5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customHeight="1" x14ac:dyDescent="0.25">
      <c r="A41" s="5" t="s">
        <v>23</v>
      </c>
      <c r="B41" s="12"/>
      <c r="C41" s="1"/>
      <c r="D41" s="1"/>
      <c r="E41" s="1"/>
      <c r="F41" s="13"/>
      <c r="G41" s="1"/>
      <c r="H41" s="1"/>
      <c r="I41" s="1"/>
      <c r="J41" s="1"/>
      <c r="K41" s="1"/>
      <c r="L41" s="1"/>
      <c r="M41" s="21"/>
      <c r="N41" s="5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customHeight="1" x14ac:dyDescent="0.25">
      <c r="A42" s="6">
        <v>43507</v>
      </c>
      <c r="B42" s="11">
        <v>2000</v>
      </c>
      <c r="C42" s="11"/>
      <c r="D42" s="11"/>
      <c r="E42" s="11"/>
      <c r="F42" s="11"/>
      <c r="G42" s="11"/>
      <c r="H42" s="7">
        <v>2000</v>
      </c>
      <c r="I42" s="7"/>
      <c r="J42" s="7">
        <v>180</v>
      </c>
      <c r="K42" s="7">
        <v>120</v>
      </c>
      <c r="L42" s="7">
        <v>300</v>
      </c>
      <c r="M42" s="20">
        <v>1700</v>
      </c>
      <c r="N42" s="5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75" customHeight="1" x14ac:dyDescent="0.25">
      <c r="A43" s="3" t="s">
        <v>37</v>
      </c>
      <c r="B43" s="12"/>
      <c r="C43" s="1"/>
      <c r="D43" s="1"/>
      <c r="E43" s="1"/>
      <c r="F43" s="13"/>
      <c r="G43" s="1"/>
      <c r="H43" s="1"/>
      <c r="I43" s="1"/>
      <c r="J43" s="1"/>
      <c r="K43" s="1"/>
      <c r="L43" s="1"/>
      <c r="M43" s="21"/>
      <c r="N43" s="5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customHeight="1" x14ac:dyDescent="0.25">
      <c r="A44" s="5" t="s">
        <v>38</v>
      </c>
      <c r="B44" s="12"/>
      <c r="C44" s="1"/>
      <c r="D44" s="1"/>
      <c r="E44" s="1"/>
      <c r="F44" s="13"/>
      <c r="G44" s="1"/>
      <c r="H44" s="1"/>
      <c r="I44" s="1"/>
      <c r="J44" s="1"/>
      <c r="K44" s="1"/>
      <c r="L44" s="1"/>
      <c r="M44" s="21"/>
      <c r="N44" s="5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customHeight="1" x14ac:dyDescent="0.25">
      <c r="A45" s="6">
        <v>43507</v>
      </c>
      <c r="B45" s="11">
        <v>1400</v>
      </c>
      <c r="C45" s="11"/>
      <c r="D45" s="11"/>
      <c r="E45" s="11"/>
      <c r="F45" s="11"/>
      <c r="G45" s="11"/>
      <c r="H45" s="7">
        <v>1400</v>
      </c>
      <c r="I45" s="7"/>
      <c r="J45" s="7">
        <v>112</v>
      </c>
      <c r="K45" s="7">
        <v>84</v>
      </c>
      <c r="L45" s="7">
        <v>196</v>
      </c>
      <c r="M45" s="20">
        <v>1204</v>
      </c>
      <c r="N45" s="5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 customHeight="1" x14ac:dyDescent="0.25">
      <c r="A46" s="3" t="s">
        <v>39</v>
      </c>
      <c r="B46" s="12"/>
      <c r="C46" s="1"/>
      <c r="D46" s="1"/>
      <c r="E46" s="1"/>
      <c r="F46" s="13"/>
      <c r="G46" s="1"/>
      <c r="H46" s="1"/>
      <c r="I46" s="1"/>
      <c r="J46" s="1"/>
      <c r="K46" s="1"/>
      <c r="L46" s="1"/>
      <c r="M46" s="21"/>
      <c r="N46" s="5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customHeight="1" x14ac:dyDescent="0.25">
      <c r="A47" s="5" t="s">
        <v>40</v>
      </c>
      <c r="B47" s="12"/>
      <c r="C47" s="1"/>
      <c r="D47" s="1"/>
      <c r="E47" s="1"/>
      <c r="F47" s="13"/>
      <c r="G47" s="1"/>
      <c r="H47" s="1"/>
      <c r="I47" s="1"/>
      <c r="J47" s="1"/>
      <c r="K47" s="1"/>
      <c r="L47" s="1"/>
      <c r="M47" s="21"/>
      <c r="N47" s="5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customHeight="1" x14ac:dyDescent="0.25">
      <c r="A48" s="6">
        <v>43507</v>
      </c>
      <c r="B48" s="11">
        <v>3800</v>
      </c>
      <c r="C48" s="11"/>
      <c r="D48" s="11"/>
      <c r="E48" s="11"/>
      <c r="F48" s="11"/>
      <c r="G48" s="11"/>
      <c r="H48" s="7">
        <v>3800</v>
      </c>
      <c r="I48" s="7">
        <v>95.62</v>
      </c>
      <c r="J48" s="7">
        <v>418</v>
      </c>
      <c r="K48" s="7"/>
      <c r="L48" s="7">
        <v>513.62</v>
      </c>
      <c r="M48" s="20">
        <v>3286.38</v>
      </c>
      <c r="N48" s="5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customHeight="1" x14ac:dyDescent="0.25">
      <c r="A49" s="8" t="s">
        <v>41</v>
      </c>
      <c r="B49" s="12"/>
      <c r="C49" s="12"/>
      <c r="D49" s="12"/>
      <c r="E49" s="12"/>
      <c r="F49" s="12"/>
      <c r="G49" s="12"/>
      <c r="H49" s="9"/>
      <c r="I49" s="9"/>
      <c r="J49" s="9"/>
      <c r="K49" s="9"/>
      <c r="L49" s="9"/>
      <c r="M49" s="22"/>
      <c r="N49" s="5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customHeight="1" x14ac:dyDescent="0.25">
      <c r="A50" s="10" t="s">
        <v>38</v>
      </c>
      <c r="B50" s="12"/>
      <c r="C50" s="12"/>
      <c r="D50" s="12"/>
      <c r="E50" s="12"/>
      <c r="F50" s="12"/>
      <c r="G50" s="12"/>
      <c r="H50" s="9"/>
      <c r="I50" s="9"/>
      <c r="J50" s="9"/>
      <c r="K50" s="9"/>
      <c r="L50" s="9"/>
      <c r="M50" s="22"/>
      <c r="N50" s="5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customHeight="1" x14ac:dyDescent="0.25">
      <c r="A51" s="10">
        <v>43557</v>
      </c>
      <c r="B51" s="12">
        <v>1400</v>
      </c>
      <c r="C51" s="12"/>
      <c r="D51" s="12"/>
      <c r="E51" s="12"/>
      <c r="F51" s="12"/>
      <c r="G51" s="12"/>
      <c r="H51" s="23">
        <v>1400</v>
      </c>
      <c r="I51" s="9"/>
      <c r="J51" s="9">
        <v>112</v>
      </c>
      <c r="K51" s="9">
        <v>84</v>
      </c>
      <c r="L51" s="9">
        <v>196</v>
      </c>
      <c r="M51" s="24">
        <v>1204</v>
      </c>
      <c r="N51" s="5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customHeight="1" x14ac:dyDescent="0.25">
      <c r="A52" s="25" t="s">
        <v>42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7"/>
      <c r="N52" s="5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 customHeight="1" x14ac:dyDescent="0.25">
      <c r="A53" s="3" t="s">
        <v>43</v>
      </c>
      <c r="B53" s="12"/>
      <c r="C53" s="1"/>
      <c r="D53" s="1"/>
      <c r="E53" s="1"/>
      <c r="F53" s="13"/>
      <c r="G53" s="1"/>
      <c r="H53" s="1"/>
      <c r="I53" s="1"/>
      <c r="J53" s="1"/>
      <c r="K53" s="1"/>
      <c r="L53" s="1"/>
      <c r="M53" s="21"/>
      <c r="N53" s="5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customHeight="1" x14ac:dyDescent="0.25">
      <c r="A54" s="5" t="s">
        <v>44</v>
      </c>
      <c r="B54" s="12"/>
      <c r="C54" s="1"/>
      <c r="D54" s="1"/>
      <c r="E54" s="1"/>
      <c r="F54" s="13"/>
      <c r="G54" s="1"/>
      <c r="H54" s="1"/>
      <c r="I54" s="1"/>
      <c r="J54" s="1"/>
      <c r="K54" s="1"/>
      <c r="L54" s="1"/>
      <c r="M54" s="21"/>
      <c r="N54" s="5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customHeight="1" x14ac:dyDescent="0.25">
      <c r="A55" s="6">
        <v>43535</v>
      </c>
      <c r="B55" s="11">
        <v>3000</v>
      </c>
      <c r="C55" s="11"/>
      <c r="D55" s="11"/>
      <c r="E55" s="11"/>
      <c r="F55" s="11"/>
      <c r="G55" s="11"/>
      <c r="H55" s="7">
        <v>3000</v>
      </c>
      <c r="I55" s="7">
        <v>29.01</v>
      </c>
      <c r="J55" s="7">
        <v>330</v>
      </c>
      <c r="K55" s="7"/>
      <c r="L55" s="7">
        <v>359.01</v>
      </c>
      <c r="M55" s="20">
        <v>2640.99</v>
      </c>
      <c r="N55" s="5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75" customHeight="1" x14ac:dyDescent="0.25">
      <c r="A56" s="28" t="s">
        <v>45</v>
      </c>
      <c r="B56" s="26"/>
      <c r="C56" s="29"/>
      <c r="D56" s="29"/>
      <c r="E56" s="29"/>
      <c r="F56" s="30"/>
      <c r="G56" s="29"/>
      <c r="H56" s="29"/>
      <c r="I56" s="29"/>
      <c r="J56" s="29"/>
      <c r="K56" s="29"/>
      <c r="L56" s="29"/>
      <c r="M56" s="31"/>
      <c r="N56" s="5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customHeight="1" x14ac:dyDescent="0.25">
      <c r="A57" s="3" t="s">
        <v>46</v>
      </c>
      <c r="B57" s="12"/>
      <c r="C57" s="1"/>
      <c r="D57" s="1"/>
      <c r="E57" s="1"/>
      <c r="F57" s="13"/>
      <c r="G57" s="1"/>
      <c r="H57" s="1"/>
      <c r="I57" s="1"/>
      <c r="J57" s="1"/>
      <c r="K57" s="1"/>
      <c r="L57" s="1"/>
      <c r="M57" s="21"/>
      <c r="N57" s="5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customHeight="1" x14ac:dyDescent="0.25">
      <c r="A58" s="5" t="s">
        <v>44</v>
      </c>
      <c r="B58" s="12"/>
      <c r="C58" s="1"/>
      <c r="D58" s="1"/>
      <c r="E58" s="1"/>
      <c r="F58" s="13"/>
      <c r="G58" s="1"/>
      <c r="H58" s="1"/>
      <c r="I58" s="1"/>
      <c r="J58" s="1"/>
      <c r="K58" s="1"/>
      <c r="L58" s="1"/>
      <c r="M58" s="21"/>
      <c r="N58" s="5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customHeight="1" x14ac:dyDescent="0.25">
      <c r="A59" s="6">
        <v>43535</v>
      </c>
      <c r="B59" s="11">
        <v>3000</v>
      </c>
      <c r="C59" s="11"/>
      <c r="D59" s="11"/>
      <c r="E59" s="11"/>
      <c r="F59" s="11"/>
      <c r="G59" s="11"/>
      <c r="H59" s="7">
        <v>3000</v>
      </c>
      <c r="I59" s="7">
        <v>43.23</v>
      </c>
      <c r="J59" s="7">
        <v>330</v>
      </c>
      <c r="K59" s="7"/>
      <c r="L59" s="7">
        <v>373.23</v>
      </c>
      <c r="M59" s="20">
        <v>2626.77</v>
      </c>
      <c r="N59" s="5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customHeight="1" x14ac:dyDescent="0.25">
      <c r="A60" s="8" t="s">
        <v>47</v>
      </c>
      <c r="B60" s="12"/>
      <c r="C60" s="12"/>
      <c r="D60" s="12"/>
      <c r="E60" s="12"/>
      <c r="F60" s="12"/>
      <c r="G60" s="12"/>
      <c r="H60" s="9"/>
      <c r="I60" s="9"/>
      <c r="J60" s="9"/>
      <c r="K60" s="9"/>
      <c r="L60" s="9"/>
      <c r="M60" s="9"/>
      <c r="N60" s="5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customHeight="1" x14ac:dyDescent="0.25">
      <c r="A61" s="10" t="s">
        <v>23</v>
      </c>
      <c r="B61" s="12"/>
      <c r="C61" s="12"/>
      <c r="D61" s="12"/>
      <c r="E61" s="12"/>
      <c r="F61" s="12"/>
      <c r="G61" s="12"/>
      <c r="H61" s="9"/>
      <c r="I61" s="9"/>
      <c r="J61" s="9"/>
      <c r="K61" s="9"/>
      <c r="L61" s="9"/>
      <c r="M61" s="9"/>
      <c r="N61" s="5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customHeight="1" x14ac:dyDescent="0.25">
      <c r="A62" s="10">
        <v>43567</v>
      </c>
      <c r="B62" s="12">
        <v>2000</v>
      </c>
      <c r="C62" s="12"/>
      <c r="D62" s="12"/>
      <c r="E62" s="12"/>
      <c r="F62" s="12"/>
      <c r="G62" s="12"/>
      <c r="H62" s="23">
        <v>2000</v>
      </c>
      <c r="I62" s="9"/>
      <c r="J62" s="9">
        <v>180</v>
      </c>
      <c r="K62" s="9"/>
      <c r="L62" s="9">
        <v>180</v>
      </c>
      <c r="M62" s="24">
        <v>1820</v>
      </c>
      <c r="N62" s="5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customHeight="1" x14ac:dyDescent="0.25">
      <c r="A63" s="28" t="s">
        <v>48</v>
      </c>
      <c r="B63" s="26"/>
      <c r="C63" s="29"/>
      <c r="D63" s="29"/>
      <c r="E63" s="29"/>
      <c r="F63" s="30"/>
      <c r="G63" s="29"/>
      <c r="H63" s="29"/>
      <c r="I63" s="29"/>
      <c r="J63" s="29"/>
      <c r="K63" s="29"/>
      <c r="L63" s="29"/>
      <c r="M63" s="29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customHeight="1" x14ac:dyDescent="0.25">
      <c r="A64" s="3" t="s">
        <v>49</v>
      </c>
      <c r="B64" s="12"/>
      <c r="C64" s="1"/>
      <c r="D64" s="1"/>
      <c r="E64" s="1"/>
      <c r="F64" s="1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customHeight="1" x14ac:dyDescent="0.25">
      <c r="A65" s="5" t="s">
        <v>23</v>
      </c>
      <c r="B65" s="12"/>
      <c r="C65" s="1"/>
      <c r="D65" s="1"/>
      <c r="E65" s="1"/>
      <c r="F65" s="1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customHeight="1" x14ac:dyDescent="0.25">
      <c r="A66" s="6">
        <v>43535</v>
      </c>
      <c r="B66" s="11">
        <v>2000</v>
      </c>
      <c r="C66" s="11"/>
      <c r="D66" s="11"/>
      <c r="E66" s="11"/>
      <c r="F66" s="11"/>
      <c r="G66" s="11"/>
      <c r="H66" s="7">
        <v>2000</v>
      </c>
      <c r="I66" s="7"/>
      <c r="J66" s="7">
        <v>180</v>
      </c>
      <c r="K66" s="7"/>
      <c r="L66" s="7">
        <v>180</v>
      </c>
      <c r="M66" s="20">
        <v>1820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customHeight="1" x14ac:dyDescent="0.25">
      <c r="A67" s="28" t="s">
        <v>50</v>
      </c>
      <c r="B67" s="26"/>
      <c r="C67" s="29"/>
      <c r="D67" s="29"/>
      <c r="E67" s="29"/>
      <c r="F67" s="30"/>
      <c r="G67" s="29"/>
      <c r="H67" s="29"/>
      <c r="I67" s="29"/>
      <c r="J67" s="29"/>
      <c r="K67" s="29"/>
      <c r="L67" s="29"/>
      <c r="M67" s="2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customHeight="1" x14ac:dyDescent="0.25">
      <c r="A68" s="3" t="s">
        <v>51</v>
      </c>
      <c r="B68" s="12"/>
      <c r="C68" s="1"/>
      <c r="D68" s="1"/>
      <c r="E68" s="1"/>
      <c r="F68" s="1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customHeight="1" x14ac:dyDescent="0.25">
      <c r="A69" s="5" t="s">
        <v>52</v>
      </c>
      <c r="B69" s="12"/>
      <c r="C69" s="1"/>
      <c r="D69" s="1"/>
      <c r="E69" s="1"/>
      <c r="F69" s="1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customHeight="1" x14ac:dyDescent="0.25">
      <c r="A70" s="6">
        <v>43556</v>
      </c>
      <c r="B70" s="11">
        <v>4000</v>
      </c>
      <c r="C70" s="11"/>
      <c r="D70" s="11"/>
      <c r="E70" s="11"/>
      <c r="F70" s="11"/>
      <c r="G70" s="11"/>
      <c r="H70" s="7">
        <v>4000</v>
      </c>
      <c r="I70" s="7">
        <v>122.32</v>
      </c>
      <c r="J70" s="7">
        <v>440</v>
      </c>
      <c r="K70" s="7"/>
      <c r="L70" s="7">
        <v>562.31999999999994</v>
      </c>
      <c r="M70" s="20">
        <v>3437.6800000000003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customHeight="1" x14ac:dyDescent="0.25">
      <c r="A71" s="226"/>
      <c r="B71" s="227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75" customHeight="1" x14ac:dyDescent="0.25">
      <c r="A72" s="227"/>
      <c r="B72" s="227"/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75" customHeight="1" x14ac:dyDescent="0.25">
      <c r="A73" s="232" t="s">
        <v>53</v>
      </c>
      <c r="B73" s="233"/>
      <c r="C73" s="233"/>
      <c r="D73" s="233"/>
      <c r="E73" s="233"/>
      <c r="F73" s="233"/>
      <c r="G73" s="233"/>
      <c r="H73" s="233"/>
      <c r="I73" s="233"/>
      <c r="J73" s="233"/>
      <c r="K73" s="233"/>
      <c r="L73" s="233"/>
      <c r="M73" s="234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75" customHeight="1" x14ac:dyDescent="0.25">
      <c r="A74" s="14" t="s">
        <v>2</v>
      </c>
      <c r="B74" s="231" t="s">
        <v>3</v>
      </c>
      <c r="C74" s="231" t="s">
        <v>4</v>
      </c>
      <c r="D74" s="228" t="s">
        <v>5</v>
      </c>
      <c r="E74" s="228" t="s">
        <v>54</v>
      </c>
      <c r="F74" s="228" t="s">
        <v>7</v>
      </c>
      <c r="G74" s="231" t="s">
        <v>55</v>
      </c>
      <c r="H74" s="228" t="s">
        <v>9</v>
      </c>
      <c r="I74" s="231" t="s">
        <v>10</v>
      </c>
      <c r="J74" s="231" t="s">
        <v>11</v>
      </c>
      <c r="K74" s="228" t="s">
        <v>12</v>
      </c>
      <c r="L74" s="228" t="s">
        <v>13</v>
      </c>
      <c r="M74" s="228" t="s">
        <v>14</v>
      </c>
      <c r="N74" s="5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75" customHeight="1" x14ac:dyDescent="0.25">
      <c r="A75" s="90" t="s">
        <v>15</v>
      </c>
      <c r="B75" s="229"/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75" customHeight="1" x14ac:dyDescent="0.25">
      <c r="A76" s="96" t="s">
        <v>16</v>
      </c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75" customHeight="1" x14ac:dyDescent="0.25">
      <c r="A77" s="3" t="s">
        <v>56</v>
      </c>
      <c r="B77" s="12"/>
      <c r="C77" s="1"/>
      <c r="D77" s="1"/>
      <c r="E77" s="1"/>
      <c r="F77" s="1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75" customHeight="1" x14ac:dyDescent="0.25">
      <c r="A78" s="5" t="s">
        <v>38</v>
      </c>
      <c r="B78" s="12"/>
      <c r="C78" s="1"/>
      <c r="D78" s="1"/>
      <c r="E78" s="1"/>
      <c r="F78" s="13"/>
      <c r="G78" s="1"/>
      <c r="H78" s="1"/>
      <c r="I78" s="1"/>
      <c r="J78" s="1"/>
      <c r="K78" s="1"/>
      <c r="L78" s="1"/>
      <c r="M78" s="1"/>
      <c r="N78" s="5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75" customHeight="1" x14ac:dyDescent="0.25">
      <c r="A79" s="6">
        <v>43535</v>
      </c>
      <c r="B79" s="11">
        <v>466.67</v>
      </c>
      <c r="C79" s="11">
        <v>311.11</v>
      </c>
      <c r="D79" s="11"/>
      <c r="E79" s="11">
        <v>233.33</v>
      </c>
      <c r="F79" s="11">
        <v>84</v>
      </c>
      <c r="G79" s="11">
        <v>1400</v>
      </c>
      <c r="H79" s="7">
        <v>2495.11</v>
      </c>
      <c r="I79" s="7"/>
      <c r="J79" s="7">
        <v>55.989999999999995</v>
      </c>
      <c r="K79" s="7">
        <v>477.28</v>
      </c>
      <c r="L79" s="7">
        <v>533.27</v>
      </c>
      <c r="M79" s="7">
        <v>1961.8400000000001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0">
    <mergeCell ref="K5:K7"/>
    <mergeCell ref="L5:L7"/>
    <mergeCell ref="M5:M7"/>
    <mergeCell ref="A1:M1"/>
    <mergeCell ref="B5:B7"/>
    <mergeCell ref="C5:C7"/>
    <mergeCell ref="D5:D7"/>
    <mergeCell ref="E5:E7"/>
    <mergeCell ref="F5:F7"/>
    <mergeCell ref="G5:G7"/>
    <mergeCell ref="B8:M8"/>
    <mergeCell ref="H5:H7"/>
    <mergeCell ref="I5:I7"/>
    <mergeCell ref="B33:B35"/>
    <mergeCell ref="C33:C35"/>
    <mergeCell ref="D33:D35"/>
    <mergeCell ref="E33:E35"/>
    <mergeCell ref="F33:F35"/>
    <mergeCell ref="I33:I35"/>
    <mergeCell ref="G33:G35"/>
    <mergeCell ref="H33:H35"/>
    <mergeCell ref="J33:J35"/>
    <mergeCell ref="K33:K35"/>
    <mergeCell ref="L33:L35"/>
    <mergeCell ref="M33:M35"/>
    <mergeCell ref="J5:J7"/>
    <mergeCell ref="A71:N72"/>
    <mergeCell ref="H74:H76"/>
    <mergeCell ref="I74:I76"/>
    <mergeCell ref="J74:J76"/>
    <mergeCell ref="K74:K76"/>
    <mergeCell ref="L74:L76"/>
    <mergeCell ref="M74:M76"/>
    <mergeCell ref="A73:M73"/>
    <mergeCell ref="B74:B76"/>
    <mergeCell ref="C74:C76"/>
    <mergeCell ref="D74:D76"/>
    <mergeCell ref="E74:E76"/>
    <mergeCell ref="F74:F76"/>
    <mergeCell ref="G74:G76"/>
  </mergeCells>
  <pageMargins left="0.511811024" right="0.511811024" top="0.78740157499999996" bottom="0.78740157499999996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1030"/>
  <sheetViews>
    <sheetView topLeftCell="E57" zoomScaleNormal="100" workbookViewId="0">
      <selection activeCell="E57" sqref="E57"/>
    </sheetView>
  </sheetViews>
  <sheetFormatPr defaultColWidth="12.625" defaultRowHeight="15" customHeight="1" x14ac:dyDescent="0.2"/>
  <cols>
    <col min="1" max="1" width="30.125" customWidth="1"/>
    <col min="2" max="2" width="10.875" customWidth="1"/>
    <col min="3" max="3" width="10.25" customWidth="1"/>
    <col min="4" max="4" width="11.875" customWidth="1"/>
    <col min="5" max="5" width="11.375" bestFit="1" customWidth="1"/>
    <col min="6" max="6" width="9.625" customWidth="1"/>
    <col min="7" max="7" width="15" customWidth="1"/>
    <col min="8" max="8" width="12.75" customWidth="1"/>
    <col min="9" max="9" width="10.375" customWidth="1"/>
    <col min="10" max="10" width="12.5" customWidth="1"/>
    <col min="11" max="11" width="10.25" customWidth="1"/>
    <col min="12" max="12" width="15.375" customWidth="1"/>
    <col min="13" max="13" width="8" customWidth="1"/>
    <col min="14" max="14" width="9.875" customWidth="1"/>
    <col min="15" max="15" width="8" customWidth="1"/>
    <col min="16" max="16" width="10.25" customWidth="1"/>
    <col min="17" max="32" width="8" customWidth="1"/>
  </cols>
  <sheetData>
    <row r="1" spans="1:32" ht="14.25" customHeight="1" x14ac:dyDescent="0.25">
      <c r="A1" s="238" t="s">
        <v>90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5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customHeight="1" thickBot="1" x14ac:dyDescent="0.3">
      <c r="A2" s="88" t="s">
        <v>153</v>
      </c>
      <c r="B2" s="89">
        <v>2022</v>
      </c>
      <c r="C2" s="90"/>
      <c r="D2" s="90"/>
      <c r="E2" s="65"/>
      <c r="F2" s="65"/>
      <c r="G2" s="65"/>
      <c r="H2" s="90"/>
      <c r="I2" s="90"/>
      <c r="J2" s="90"/>
      <c r="K2" s="90"/>
      <c r="L2" s="90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91" t="s">
        <v>2</v>
      </c>
      <c r="B3" s="231" t="s">
        <v>3</v>
      </c>
      <c r="C3" s="231" t="s">
        <v>92</v>
      </c>
      <c r="D3" s="228" t="s">
        <v>93</v>
      </c>
      <c r="E3" s="241" t="s">
        <v>8</v>
      </c>
      <c r="F3" s="244" t="s">
        <v>94</v>
      </c>
      <c r="G3" s="244" t="s">
        <v>9</v>
      </c>
      <c r="H3" s="231" t="s">
        <v>11</v>
      </c>
      <c r="I3" s="231" t="s">
        <v>95</v>
      </c>
      <c r="J3" s="228" t="s">
        <v>12</v>
      </c>
      <c r="K3" s="228" t="s">
        <v>13</v>
      </c>
      <c r="L3" s="228" t="s">
        <v>14</v>
      </c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x14ac:dyDescent="0.25">
      <c r="A4" s="90" t="s">
        <v>15</v>
      </c>
      <c r="B4" s="229"/>
      <c r="C4" s="229"/>
      <c r="D4" s="229"/>
      <c r="E4" s="242"/>
      <c r="F4" s="229"/>
      <c r="G4" s="229"/>
      <c r="H4" s="229"/>
      <c r="I4" s="229"/>
      <c r="J4" s="229"/>
      <c r="K4" s="229"/>
      <c r="L4" s="229"/>
      <c r="M4" s="5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 x14ac:dyDescent="0.25">
      <c r="A5" s="92" t="s">
        <v>16</v>
      </c>
      <c r="B5" s="237"/>
      <c r="C5" s="237"/>
      <c r="D5" s="237"/>
      <c r="E5" s="243"/>
      <c r="F5" s="237"/>
      <c r="G5" s="237"/>
      <c r="H5" s="237"/>
      <c r="I5" s="237"/>
      <c r="J5" s="237"/>
      <c r="K5" s="237"/>
      <c r="L5" s="237"/>
      <c r="M5" s="5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 x14ac:dyDescent="0.25">
      <c r="A6" s="2" t="s">
        <v>96</v>
      </c>
      <c r="B6" s="235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5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 x14ac:dyDescent="0.25">
      <c r="A7" s="8" t="s">
        <v>99</v>
      </c>
      <c r="B7" s="54"/>
      <c r="C7" s="54"/>
      <c r="D7" s="54"/>
      <c r="E7" s="66"/>
      <c r="F7" s="66"/>
      <c r="G7" s="66"/>
      <c r="H7" s="54"/>
      <c r="I7" s="54"/>
      <c r="J7" s="54"/>
      <c r="K7" s="54"/>
      <c r="L7" s="54"/>
      <c r="M7" s="5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 x14ac:dyDescent="0.25">
      <c r="A8" s="10" t="s">
        <v>151</v>
      </c>
      <c r="B8" s="54"/>
      <c r="C8" s="54"/>
      <c r="D8" s="54"/>
      <c r="E8" s="66"/>
      <c r="F8" s="66"/>
      <c r="G8" s="66"/>
      <c r="H8" s="54"/>
      <c r="I8" s="54"/>
      <c r="J8" s="54"/>
      <c r="K8" s="54"/>
      <c r="L8" s="54"/>
      <c r="M8" s="5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 thickBot="1" x14ac:dyDescent="0.3">
      <c r="A9" s="6">
        <v>43171</v>
      </c>
      <c r="B9" s="55">
        <v>2058.0500000000002</v>
      </c>
      <c r="C9" s="55"/>
      <c r="D9" s="55"/>
      <c r="E9" s="67"/>
      <c r="F9" s="68"/>
      <c r="G9" s="69">
        <f>SUM(B9:F9)</f>
        <v>2058.0500000000002</v>
      </c>
      <c r="H9" s="56">
        <v>167.04</v>
      </c>
      <c r="I9" s="56"/>
      <c r="J9" s="56">
        <f>62.15+2.47+66.85</f>
        <v>131.47</v>
      </c>
      <c r="K9" s="56">
        <f>SUM(H9:J9)</f>
        <v>298.51</v>
      </c>
      <c r="L9" s="56">
        <f>G9-K9</f>
        <v>1759.5400000000002</v>
      </c>
      <c r="M9" s="5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.75" customHeight="1" thickTop="1" x14ac:dyDescent="0.25">
      <c r="A10" s="8" t="s">
        <v>101</v>
      </c>
      <c r="B10" s="57"/>
      <c r="C10" s="57"/>
      <c r="D10" s="57"/>
      <c r="E10" s="70"/>
      <c r="F10" s="70"/>
      <c r="G10" s="66"/>
      <c r="H10" s="54"/>
      <c r="I10" s="54"/>
      <c r="J10" s="54"/>
      <c r="K10" s="54"/>
      <c r="L10" s="54"/>
      <c r="M10" s="5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.75" customHeight="1" x14ac:dyDescent="0.25">
      <c r="A11" s="5" t="s">
        <v>144</v>
      </c>
      <c r="B11" s="57"/>
      <c r="C11" s="57"/>
      <c r="D11" s="57"/>
      <c r="E11" s="70"/>
      <c r="F11" s="70"/>
      <c r="G11" s="66"/>
      <c r="H11" s="54"/>
      <c r="I11" s="54"/>
      <c r="J11" s="54"/>
      <c r="K11" s="54"/>
      <c r="L11" s="54"/>
      <c r="M11" s="52"/>
      <c r="N11" s="1"/>
      <c r="O11" s="1"/>
      <c r="P11" s="34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.75" customHeight="1" thickBot="1" x14ac:dyDescent="0.3">
      <c r="A12" s="6">
        <v>42037</v>
      </c>
      <c r="B12" s="55">
        <v>4097.53</v>
      </c>
      <c r="C12" s="55"/>
      <c r="D12" s="55">
        <v>81.95</v>
      </c>
      <c r="E12" s="67"/>
      <c r="F12" s="68"/>
      <c r="G12" s="69">
        <f>SUM(B12:F12)</f>
        <v>4179.4799999999996</v>
      </c>
      <c r="H12" s="56">
        <v>421.3</v>
      </c>
      <c r="I12" s="56">
        <v>209.46</v>
      </c>
      <c r="J12" s="56">
        <f>62.15+2.47+353.67</f>
        <v>418.29</v>
      </c>
      <c r="K12" s="56">
        <f>H12+I12+J12</f>
        <v>1049.05</v>
      </c>
      <c r="L12" s="56">
        <f>G12-K12</f>
        <v>3130.4299999999994</v>
      </c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4.25" customHeight="1" thickTop="1" x14ac:dyDescent="0.25">
      <c r="A13" s="8" t="s">
        <v>103</v>
      </c>
      <c r="B13" s="57"/>
      <c r="C13" s="57"/>
      <c r="D13" s="57"/>
      <c r="E13" s="70"/>
      <c r="F13" s="70"/>
      <c r="G13" s="66"/>
      <c r="H13" s="54"/>
      <c r="I13" s="54"/>
      <c r="J13" s="54"/>
      <c r="K13" s="54"/>
      <c r="L13" s="54"/>
      <c r="M13" s="5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4.25" customHeight="1" x14ac:dyDescent="0.25">
      <c r="A14" s="5" t="s">
        <v>104</v>
      </c>
      <c r="B14" s="57"/>
      <c r="C14" s="57"/>
      <c r="D14" s="57"/>
      <c r="E14" s="70"/>
      <c r="F14" s="70"/>
      <c r="G14" s="66"/>
      <c r="H14" s="54"/>
      <c r="I14" s="54"/>
      <c r="J14" s="54"/>
      <c r="K14" s="54"/>
      <c r="L14" s="54"/>
      <c r="M14" s="5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4.25" customHeight="1" thickBot="1" x14ac:dyDescent="0.3">
      <c r="A15" s="6">
        <v>41319</v>
      </c>
      <c r="B15" s="55">
        <v>6678.33</v>
      </c>
      <c r="C15" s="55"/>
      <c r="D15" s="55">
        <v>133.56</v>
      </c>
      <c r="E15" s="67">
        <v>3005.25</v>
      </c>
      <c r="F15" s="68"/>
      <c r="G15" s="69">
        <f>SUM(B15:F15)</f>
        <v>9817.14</v>
      </c>
      <c r="H15" s="56">
        <v>828.38</v>
      </c>
      <c r="I15" s="56">
        <v>1498.27</v>
      </c>
      <c r="J15" s="56">
        <f>62.15+2.34+26.71</f>
        <v>91.199999999999989</v>
      </c>
      <c r="K15" s="56">
        <f>H15+I15+J15</f>
        <v>2417.85</v>
      </c>
      <c r="L15" s="56">
        <f>G15-K15</f>
        <v>7399.2899999999991</v>
      </c>
      <c r="M15" s="5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 thickTop="1" x14ac:dyDescent="0.25">
      <c r="A16" s="8" t="s">
        <v>105</v>
      </c>
      <c r="B16" s="58"/>
      <c r="C16" s="58"/>
      <c r="D16" s="58"/>
      <c r="E16" s="71"/>
      <c r="F16" s="72"/>
      <c r="G16" s="73"/>
      <c r="H16" s="83"/>
      <c r="I16" s="83"/>
      <c r="J16" s="83"/>
      <c r="K16" s="83"/>
      <c r="L16" s="83"/>
      <c r="M16" s="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 x14ac:dyDescent="0.25">
      <c r="A17" s="53" t="s">
        <v>106</v>
      </c>
      <c r="B17" s="58"/>
      <c r="C17" s="58"/>
      <c r="D17" s="58"/>
      <c r="E17" s="71"/>
      <c r="F17" s="72"/>
      <c r="G17" s="73"/>
      <c r="H17" s="83"/>
      <c r="I17" s="83"/>
      <c r="J17" s="83"/>
      <c r="K17" s="83"/>
      <c r="L17" s="83"/>
      <c r="M17" s="5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.75" customHeight="1" thickBot="1" x14ac:dyDescent="0.3">
      <c r="A18" s="49">
        <v>44522</v>
      </c>
      <c r="B18" s="56">
        <v>3578.94</v>
      </c>
      <c r="C18" s="56"/>
      <c r="D18" s="56"/>
      <c r="E18" s="69"/>
      <c r="F18" s="74"/>
      <c r="G18" s="69">
        <f>SUM(B18:F18)</f>
        <v>3578.94</v>
      </c>
      <c r="H18" s="56">
        <v>338.47</v>
      </c>
      <c r="I18" s="56">
        <v>102.83</v>
      </c>
      <c r="J18" s="56">
        <f>62.15+2.47+280.68</f>
        <v>345.3</v>
      </c>
      <c r="K18" s="56">
        <f>H18+I18+J18</f>
        <v>786.6</v>
      </c>
      <c r="L18" s="56">
        <f>G18-K18</f>
        <v>2792.34</v>
      </c>
      <c r="M18" s="5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.75" customHeight="1" thickTop="1" x14ac:dyDescent="0.25">
      <c r="A19" s="3" t="s">
        <v>107</v>
      </c>
      <c r="B19" s="54"/>
      <c r="C19" s="54"/>
      <c r="D19" s="54"/>
      <c r="E19" s="66"/>
      <c r="F19" s="66"/>
      <c r="G19" s="66"/>
      <c r="H19" s="54"/>
      <c r="I19" s="54"/>
      <c r="J19" s="54"/>
      <c r="K19" s="54"/>
      <c r="L19" s="54"/>
      <c r="M19" s="5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.75" customHeight="1" x14ac:dyDescent="0.25">
      <c r="A20" s="5" t="s">
        <v>108</v>
      </c>
      <c r="B20" s="54"/>
      <c r="C20" s="54"/>
      <c r="D20" s="54"/>
      <c r="E20" s="66"/>
      <c r="F20" s="66"/>
      <c r="G20" s="66"/>
      <c r="H20" s="54"/>
      <c r="I20" s="54"/>
      <c r="J20" s="54"/>
      <c r="K20" s="54"/>
      <c r="L20" s="54"/>
      <c r="M20" s="5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thickBot="1" x14ac:dyDescent="0.3">
      <c r="A21" s="49">
        <v>44207</v>
      </c>
      <c r="B21" s="56">
        <v>1797.58</v>
      </c>
      <c r="C21" s="56"/>
      <c r="D21" s="56"/>
      <c r="E21" s="69"/>
      <c r="F21" s="74"/>
      <c r="G21" s="69">
        <f>SUM(B21:F21)</f>
        <v>1797.58</v>
      </c>
      <c r="H21" s="56">
        <v>143.6</v>
      </c>
      <c r="I21" s="59"/>
      <c r="J21" s="56">
        <f>62.15+1.04+350.43+26.71</f>
        <v>440.33</v>
      </c>
      <c r="K21" s="56">
        <f>SUM(H21:J21)</f>
        <v>583.92999999999995</v>
      </c>
      <c r="L21" s="56">
        <f>G21-K21</f>
        <v>1213.6500000000001</v>
      </c>
      <c r="M21" s="5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thickTop="1" x14ac:dyDescent="0.25">
      <c r="A22" s="3" t="s">
        <v>145</v>
      </c>
      <c r="B22" s="54"/>
      <c r="C22" s="54"/>
      <c r="D22" s="54"/>
      <c r="E22" s="66"/>
      <c r="F22" s="66"/>
      <c r="G22" s="66"/>
      <c r="H22" s="54"/>
      <c r="I22" s="54"/>
      <c r="J22" s="54"/>
      <c r="K22" s="54"/>
      <c r="L22" s="54"/>
      <c r="M22" s="5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5" t="s">
        <v>146</v>
      </c>
      <c r="B23" s="54"/>
      <c r="C23" s="54"/>
      <c r="D23" s="54"/>
      <c r="E23" s="66"/>
      <c r="F23" s="66"/>
      <c r="G23" s="66"/>
      <c r="H23" s="54"/>
      <c r="I23" s="54"/>
      <c r="J23" s="54"/>
      <c r="K23" s="54"/>
      <c r="L23" s="54"/>
      <c r="M23" s="5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thickBot="1" x14ac:dyDescent="0.3">
      <c r="A24" s="49">
        <v>44608</v>
      </c>
      <c r="B24" s="56">
        <v>4000</v>
      </c>
      <c r="C24" s="56"/>
      <c r="D24" s="56"/>
      <c r="E24" s="69"/>
      <c r="F24" s="74"/>
      <c r="G24" s="69">
        <f>SUM(B24:F24)</f>
        <v>4000</v>
      </c>
      <c r="H24" s="56">
        <v>396.17</v>
      </c>
      <c r="I24" s="59">
        <v>185.77</v>
      </c>
      <c r="J24" s="56">
        <f>62.15+2.47</f>
        <v>64.62</v>
      </c>
      <c r="K24" s="56">
        <f>SUM(H24:J24)</f>
        <v>646.56000000000006</v>
      </c>
      <c r="L24" s="56">
        <f>G24-K24</f>
        <v>3353.44</v>
      </c>
      <c r="M24" s="5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thickTop="1" x14ac:dyDescent="0.25">
      <c r="A25" s="3" t="s">
        <v>109</v>
      </c>
      <c r="B25" s="54"/>
      <c r="C25" s="54"/>
      <c r="D25" s="54"/>
      <c r="E25" s="66"/>
      <c r="F25" s="66"/>
      <c r="G25" s="66"/>
      <c r="H25" s="54"/>
      <c r="I25" s="54"/>
      <c r="J25" s="54"/>
      <c r="K25" s="54"/>
      <c r="L25" s="54"/>
      <c r="M25" s="5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5" t="s">
        <v>110</v>
      </c>
      <c r="B26" s="54"/>
      <c r="C26" s="54"/>
      <c r="D26" s="54"/>
      <c r="E26" s="66"/>
      <c r="F26" s="66"/>
      <c r="G26" s="66"/>
      <c r="H26" s="54"/>
      <c r="I26" s="54"/>
      <c r="J26" s="54"/>
      <c r="K26" s="54"/>
      <c r="L26" s="54"/>
      <c r="M26" s="5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thickBot="1" x14ac:dyDescent="0.3">
      <c r="A27" s="49">
        <v>43739</v>
      </c>
      <c r="B27" s="56">
        <v>3191.22</v>
      </c>
      <c r="C27" s="56">
        <f>638.24+212.75</f>
        <v>850.99</v>
      </c>
      <c r="D27" s="56"/>
      <c r="E27" s="69">
        <v>268.06</v>
      </c>
      <c r="F27" s="87"/>
      <c r="G27" s="69">
        <f>SUM(B27:F27)</f>
        <v>4310.2700000000004</v>
      </c>
      <c r="H27" s="56">
        <f>63.82+375.79</f>
        <v>439.61</v>
      </c>
      <c r="I27" s="59">
        <v>107.72</v>
      </c>
      <c r="J27" s="56">
        <f>62.15+1.82+407.74+53.42</f>
        <v>525.13</v>
      </c>
      <c r="K27" s="56">
        <f>SUM(H27:J27)</f>
        <v>1072.46</v>
      </c>
      <c r="L27" s="56">
        <f>G27-K27</f>
        <v>3237.8100000000004</v>
      </c>
      <c r="M27" s="5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4.25" customHeight="1" thickTop="1" x14ac:dyDescent="0.25">
      <c r="A28" s="8" t="s">
        <v>111</v>
      </c>
      <c r="B28" s="54"/>
      <c r="C28" s="54"/>
      <c r="D28" s="54"/>
      <c r="E28" s="66"/>
      <c r="F28" s="66"/>
      <c r="G28" s="66"/>
      <c r="H28" s="54"/>
      <c r="I28" s="54"/>
      <c r="J28" s="54"/>
      <c r="K28" s="54"/>
      <c r="L28" s="54"/>
      <c r="M28" s="5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4.25" customHeight="1" x14ac:dyDescent="0.25">
      <c r="A29" s="10" t="s">
        <v>100</v>
      </c>
      <c r="B29" s="54"/>
      <c r="C29" s="54"/>
      <c r="D29" s="54"/>
      <c r="E29" s="66"/>
      <c r="F29" s="66"/>
      <c r="G29" s="66"/>
      <c r="H29" s="54"/>
      <c r="I29" s="54"/>
      <c r="J29" s="54"/>
      <c r="K29" s="54"/>
      <c r="L29" s="54"/>
      <c r="M29" s="5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4.25" customHeight="1" thickBot="1" x14ac:dyDescent="0.3">
      <c r="A30" s="6">
        <v>43648</v>
      </c>
      <c r="B30" s="55">
        <v>1923.41</v>
      </c>
      <c r="C30" s="55"/>
      <c r="D30" s="55"/>
      <c r="E30" s="67"/>
      <c r="F30" s="68"/>
      <c r="G30" s="69">
        <f>SUM(B30:F30)</f>
        <v>1923.41</v>
      </c>
      <c r="H30" s="56">
        <v>154.91999999999999</v>
      </c>
      <c r="I30" s="56"/>
      <c r="J30" s="56">
        <f>62.15+2.47</f>
        <v>64.62</v>
      </c>
      <c r="K30" s="56">
        <f>SUM(H30:J30)</f>
        <v>219.54</v>
      </c>
      <c r="L30" s="56">
        <f>G30-K30</f>
        <v>1703.8700000000001</v>
      </c>
      <c r="M30" s="5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 thickTop="1" x14ac:dyDescent="0.25">
      <c r="A31" s="8" t="s">
        <v>112</v>
      </c>
      <c r="B31" s="54"/>
      <c r="C31" s="54"/>
      <c r="D31" s="54"/>
      <c r="E31" s="66"/>
      <c r="F31" s="66"/>
      <c r="G31" s="66"/>
      <c r="H31" s="54"/>
      <c r="I31" s="54"/>
      <c r="J31" s="54"/>
      <c r="K31" s="54"/>
      <c r="L31" s="54"/>
      <c r="M31" s="5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 x14ac:dyDescent="0.25">
      <c r="A32" s="10" t="s">
        <v>113</v>
      </c>
      <c r="B32" s="54"/>
      <c r="C32" s="54"/>
      <c r="D32" s="54"/>
      <c r="E32" s="66"/>
      <c r="F32" s="66"/>
      <c r="G32" s="66"/>
      <c r="H32" s="54"/>
      <c r="I32" s="54"/>
      <c r="J32" s="54"/>
      <c r="K32" s="54"/>
      <c r="L32" s="54"/>
      <c r="M32" s="5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 thickBot="1" x14ac:dyDescent="0.3">
      <c r="A33" s="6">
        <v>44580</v>
      </c>
      <c r="B33" s="55">
        <v>3578.94</v>
      </c>
      <c r="C33" s="55"/>
      <c r="D33" s="55"/>
      <c r="E33" s="67"/>
      <c r="F33" s="68"/>
      <c r="G33" s="69">
        <f>SUM(B33:F33)</f>
        <v>3578.94</v>
      </c>
      <c r="H33" s="56">
        <v>338.47</v>
      </c>
      <c r="I33" s="56">
        <v>131.27000000000001</v>
      </c>
      <c r="J33" s="56">
        <f>62.15+2.47+120.51</f>
        <v>185.13</v>
      </c>
      <c r="K33" s="56">
        <f>SUM(H33:J33)</f>
        <v>654.87</v>
      </c>
      <c r="L33" s="56">
        <f>G33-K33</f>
        <v>2924.07</v>
      </c>
      <c r="M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 thickTop="1" x14ac:dyDescent="0.25">
      <c r="A34" s="3" t="s">
        <v>114</v>
      </c>
      <c r="B34" s="84"/>
      <c r="C34" s="84"/>
      <c r="D34" s="84"/>
      <c r="E34" s="75"/>
      <c r="F34" s="75"/>
      <c r="G34" s="75"/>
      <c r="H34" s="84"/>
      <c r="I34" s="84"/>
      <c r="J34" s="84"/>
      <c r="K34" s="84"/>
      <c r="L34" s="84"/>
      <c r="M34" s="5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 x14ac:dyDescent="0.25">
      <c r="A35" s="5" t="s">
        <v>100</v>
      </c>
      <c r="B35" s="57"/>
      <c r="C35" s="57"/>
      <c r="D35" s="57"/>
      <c r="E35" s="70"/>
      <c r="F35" s="70"/>
      <c r="G35" s="66"/>
      <c r="H35" s="54"/>
      <c r="I35" s="54"/>
      <c r="J35" s="54"/>
      <c r="K35" s="54"/>
      <c r="L35" s="54"/>
      <c r="M35" s="5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 thickBot="1" x14ac:dyDescent="0.3">
      <c r="A36" s="6">
        <v>43325</v>
      </c>
      <c r="B36" s="55">
        <v>1923.41</v>
      </c>
      <c r="C36" s="55"/>
      <c r="D36" s="55"/>
      <c r="E36" s="67"/>
      <c r="F36" s="68"/>
      <c r="G36" s="69">
        <f>SUM(B36:F36)</f>
        <v>1923.41</v>
      </c>
      <c r="H36" s="59">
        <v>154.91999999999999</v>
      </c>
      <c r="I36" s="56"/>
      <c r="J36" s="59">
        <f>62.15+2.47+90.21+26.71</f>
        <v>181.54</v>
      </c>
      <c r="K36" s="56">
        <f>SUM(H36:J36)</f>
        <v>336.46</v>
      </c>
      <c r="L36" s="56">
        <f>G36-K36</f>
        <v>1586.95</v>
      </c>
      <c r="M36" s="5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 thickTop="1" x14ac:dyDescent="0.25">
      <c r="A37" s="8" t="s">
        <v>115</v>
      </c>
      <c r="B37" s="57"/>
      <c r="C37" s="57"/>
      <c r="D37" s="57"/>
      <c r="E37" s="70"/>
      <c r="F37" s="70"/>
      <c r="G37" s="66"/>
      <c r="H37" s="54"/>
      <c r="I37" s="54"/>
      <c r="J37" s="54"/>
      <c r="K37" s="54"/>
      <c r="L37" s="54"/>
      <c r="M37" s="5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 x14ac:dyDescent="0.25">
      <c r="A38" s="10" t="s">
        <v>116</v>
      </c>
      <c r="B38" s="57"/>
      <c r="C38" s="57"/>
      <c r="D38" s="57"/>
      <c r="E38" s="70"/>
      <c r="F38" s="70"/>
      <c r="G38" s="66"/>
      <c r="H38" s="54"/>
      <c r="I38" s="54"/>
      <c r="J38" s="54"/>
      <c r="K38" s="54"/>
      <c r="L38" s="54"/>
      <c r="M38" s="5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 thickBot="1" x14ac:dyDescent="0.3">
      <c r="A39" s="6">
        <v>43325</v>
      </c>
      <c r="B39" s="55">
        <v>1923.41</v>
      </c>
      <c r="C39" s="55"/>
      <c r="D39" s="55"/>
      <c r="E39" s="67">
        <v>865.53</v>
      </c>
      <c r="F39" s="68"/>
      <c r="G39" s="69">
        <f>SUM(B39:F39)</f>
        <v>2788.94</v>
      </c>
      <c r="H39" s="56">
        <v>243.67</v>
      </c>
      <c r="I39" s="56">
        <v>48.1</v>
      </c>
      <c r="J39" s="56">
        <f>19.23+62.15+2.47+100.85</f>
        <v>184.7</v>
      </c>
      <c r="K39" s="56">
        <f>H39+I39+J39</f>
        <v>476.46999999999997</v>
      </c>
      <c r="L39" s="56">
        <f>G39-K39</f>
        <v>2312.4700000000003</v>
      </c>
      <c r="M39" s="5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 thickTop="1" x14ac:dyDescent="0.25">
      <c r="A40" s="8" t="s">
        <v>117</v>
      </c>
      <c r="B40" s="54"/>
      <c r="C40" s="54"/>
      <c r="D40" s="54"/>
      <c r="E40" s="66"/>
      <c r="F40" s="66"/>
      <c r="G40" s="66"/>
      <c r="H40" s="54"/>
      <c r="I40" s="54"/>
      <c r="J40" s="54"/>
      <c r="K40" s="54"/>
      <c r="L40" s="54"/>
      <c r="M40" s="5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 x14ac:dyDescent="0.25">
      <c r="A41" s="5" t="s">
        <v>100</v>
      </c>
      <c r="B41" s="54"/>
      <c r="C41" s="54"/>
      <c r="D41" s="54"/>
      <c r="E41" s="66"/>
      <c r="F41" s="66"/>
      <c r="G41" s="66"/>
      <c r="H41" s="54"/>
      <c r="I41" s="54"/>
      <c r="J41" s="54"/>
      <c r="K41" s="54"/>
      <c r="L41" s="54"/>
      <c r="M41" s="5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 thickBot="1" x14ac:dyDescent="0.3">
      <c r="A42" s="51">
        <v>43479</v>
      </c>
      <c r="B42" s="56">
        <v>1538.73</v>
      </c>
      <c r="C42" s="56"/>
      <c r="D42" s="56"/>
      <c r="E42" s="69"/>
      <c r="F42" s="74"/>
      <c r="G42" s="69">
        <f>SUM(B42:F42)</f>
        <v>1538.73</v>
      </c>
      <c r="H42" s="56">
        <v>128</v>
      </c>
      <c r="I42" s="56"/>
      <c r="J42" s="56">
        <f>19.23+62.15+1.04+617.66</f>
        <v>700.07999999999993</v>
      </c>
      <c r="K42" s="56">
        <f>H42+I42+J42</f>
        <v>828.07999999999993</v>
      </c>
      <c r="L42" s="56">
        <f>G42-K42</f>
        <v>710.65000000000009</v>
      </c>
      <c r="M42" s="5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 thickTop="1" x14ac:dyDescent="0.25">
      <c r="A43" s="8" t="s">
        <v>118</v>
      </c>
      <c r="B43" s="54"/>
      <c r="C43" s="54"/>
      <c r="D43" s="54"/>
      <c r="E43" s="66"/>
      <c r="F43" s="66"/>
      <c r="G43" s="66"/>
      <c r="H43" s="54"/>
      <c r="I43" s="54"/>
      <c r="J43" s="54"/>
      <c r="K43" s="54"/>
      <c r="L43" s="54"/>
      <c r="M43" s="5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 x14ac:dyDescent="0.25">
      <c r="A44" s="5" t="s">
        <v>119</v>
      </c>
      <c r="B44" s="54"/>
      <c r="C44" s="54"/>
      <c r="D44" s="54"/>
      <c r="E44" s="66"/>
      <c r="F44" s="66"/>
      <c r="G44" s="66"/>
      <c r="H44" s="54"/>
      <c r="I44" s="54"/>
      <c r="J44" s="54"/>
      <c r="K44" s="54"/>
      <c r="L44" s="54"/>
      <c r="M44" s="5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 customHeight="1" thickBot="1" x14ac:dyDescent="0.3">
      <c r="A45" s="51">
        <v>44341</v>
      </c>
      <c r="B45" s="56">
        <v>1797.58</v>
      </c>
      <c r="C45" s="56"/>
      <c r="D45" s="56"/>
      <c r="E45" s="69"/>
      <c r="F45" s="74"/>
      <c r="G45" s="69">
        <f>SUM(B45:F45)</f>
        <v>1797.58</v>
      </c>
      <c r="H45" s="56">
        <v>143.6</v>
      </c>
      <c r="I45" s="56"/>
      <c r="J45" s="56">
        <f>66.45+2.86+133.55</f>
        <v>202.86</v>
      </c>
      <c r="K45" s="56">
        <f>H45+I45+J45</f>
        <v>346.46000000000004</v>
      </c>
      <c r="L45" s="56">
        <f>G45-K45</f>
        <v>1451.12</v>
      </c>
      <c r="M45" s="5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.75" customHeight="1" thickTop="1" thickBot="1" x14ac:dyDescent="0.3">
      <c r="A46" s="28" t="s">
        <v>120</v>
      </c>
      <c r="B46" s="235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5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 customHeight="1" thickTop="1" x14ac:dyDescent="0.25">
      <c r="A47" s="8" t="s">
        <v>121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5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customHeight="1" x14ac:dyDescent="0.25">
      <c r="A48" s="53" t="s">
        <v>122</v>
      </c>
      <c r="B48" s="58"/>
      <c r="C48" s="58"/>
      <c r="D48" s="58"/>
      <c r="E48" s="71"/>
      <c r="F48" s="71"/>
      <c r="G48" s="73"/>
      <c r="H48" s="83"/>
      <c r="I48" s="83"/>
      <c r="J48" s="83"/>
      <c r="K48" s="83"/>
      <c r="L48" s="83"/>
      <c r="M48" s="5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thickBot="1" x14ac:dyDescent="0.3">
      <c r="A49" s="50">
        <v>38054</v>
      </c>
      <c r="B49" s="55">
        <v>2886.52</v>
      </c>
      <c r="C49" s="55"/>
      <c r="D49" s="55">
        <v>57.73</v>
      </c>
      <c r="E49" s="67">
        <v>1298.94</v>
      </c>
      <c r="F49" s="67"/>
      <c r="G49" s="69">
        <f>SUM(B49:F49)</f>
        <v>4243.1900000000005</v>
      </c>
      <c r="H49" s="56">
        <v>430.22</v>
      </c>
      <c r="I49" s="56">
        <v>221.79</v>
      </c>
      <c r="J49" s="56">
        <f>62.15+2.47+126.81</f>
        <v>191.43</v>
      </c>
      <c r="K49" s="56">
        <f>H49+I49+J49</f>
        <v>843.44</v>
      </c>
      <c r="L49" s="56">
        <f>G49-K49</f>
        <v>3399.7500000000005</v>
      </c>
      <c r="M49" s="5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thickTop="1" x14ac:dyDescent="0.25">
      <c r="A50" s="8" t="s">
        <v>123</v>
      </c>
      <c r="B50" s="58"/>
      <c r="C50" s="58"/>
      <c r="D50" s="58"/>
      <c r="E50" s="71"/>
      <c r="F50" s="71"/>
      <c r="G50" s="73"/>
      <c r="H50" s="83"/>
      <c r="I50" s="83"/>
      <c r="J50" s="83"/>
      <c r="K50" s="83"/>
      <c r="L50" s="83"/>
      <c r="M50" s="5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x14ac:dyDescent="0.25">
      <c r="A51" s="53" t="s">
        <v>108</v>
      </c>
      <c r="B51" s="58"/>
      <c r="C51" s="58"/>
      <c r="D51" s="58"/>
      <c r="E51" s="71"/>
      <c r="F51" s="71"/>
      <c r="G51" s="73"/>
      <c r="H51" s="83"/>
      <c r="I51" s="83"/>
      <c r="J51" s="83"/>
      <c r="K51" s="83"/>
      <c r="L51" s="83"/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thickBot="1" x14ac:dyDescent="0.3">
      <c r="A52" s="50">
        <v>44319</v>
      </c>
      <c r="B52" s="55">
        <v>1797.58</v>
      </c>
      <c r="C52" s="55"/>
      <c r="D52" s="55"/>
      <c r="E52" s="67"/>
      <c r="F52" s="67"/>
      <c r="G52" s="69">
        <f>SUM(B52:F52)</f>
        <v>1797.58</v>
      </c>
      <c r="H52" s="56">
        <v>143.6</v>
      </c>
      <c r="I52" s="56"/>
      <c r="J52" s="56">
        <f>62.15+2.47</f>
        <v>64.62</v>
      </c>
      <c r="K52" s="56">
        <f>H52+I52+J52</f>
        <v>208.22</v>
      </c>
      <c r="L52" s="56">
        <f>G52-K52</f>
        <v>1589.36</v>
      </c>
      <c r="M52" s="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thickTop="1" x14ac:dyDescent="0.25">
      <c r="A53" s="8" t="s">
        <v>124</v>
      </c>
      <c r="B53" s="58"/>
      <c r="C53" s="58"/>
      <c r="D53" s="58"/>
      <c r="E53" s="71"/>
      <c r="F53" s="71"/>
      <c r="G53" s="73"/>
      <c r="H53" s="83"/>
      <c r="I53" s="83"/>
      <c r="J53" s="83"/>
      <c r="K53" s="83"/>
      <c r="L53" s="83"/>
      <c r="M53" s="5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53" t="s">
        <v>116</v>
      </c>
      <c r="B54" s="58"/>
      <c r="C54" s="58"/>
      <c r="D54" s="58"/>
      <c r="E54" s="71"/>
      <c r="F54" s="71"/>
      <c r="G54" s="73"/>
      <c r="H54" s="83"/>
      <c r="I54" s="83"/>
      <c r="J54" s="83"/>
      <c r="K54" s="83"/>
      <c r="L54" s="83"/>
      <c r="M54" s="5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thickBot="1" x14ac:dyDescent="0.3">
      <c r="A55" s="50">
        <v>43845</v>
      </c>
      <c r="B55" s="55">
        <v>1602.84</v>
      </c>
      <c r="C55" s="55">
        <f>320.57+106.86</f>
        <v>427.43</v>
      </c>
      <c r="D55" s="55"/>
      <c r="E55" s="67"/>
      <c r="F55" s="67"/>
      <c r="G55" s="69">
        <f>SUM(B55:F55)</f>
        <v>2030.27</v>
      </c>
      <c r="H55" s="56">
        <f>32.05+132.49</f>
        <v>164.54000000000002</v>
      </c>
      <c r="I55" s="56"/>
      <c r="J55" s="56">
        <f>19.23+62.15+1.56+414.88</f>
        <v>497.82</v>
      </c>
      <c r="K55" s="56">
        <f>H55+I55+J55</f>
        <v>662.36</v>
      </c>
      <c r="L55" s="56">
        <f>G55-K55</f>
        <v>1367.9099999999999</v>
      </c>
      <c r="M55" s="5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" customHeight="1" thickTop="1" x14ac:dyDescent="0.2"/>
    <row r="59" spans="1:32" ht="15.75" customHeight="1" x14ac:dyDescent="0.25">
      <c r="A59" s="82"/>
      <c r="B59" s="58"/>
      <c r="C59" s="58"/>
      <c r="D59" s="58"/>
      <c r="E59" s="71"/>
      <c r="F59" s="71"/>
      <c r="G59" s="73"/>
      <c r="H59" s="83"/>
      <c r="I59" s="83"/>
      <c r="J59" s="83"/>
      <c r="K59" s="83"/>
      <c r="L59" s="83"/>
      <c r="M59" s="5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customHeight="1" x14ac:dyDescent="0.25">
      <c r="A60" s="82"/>
      <c r="B60" s="58"/>
      <c r="C60" s="58"/>
      <c r="D60" s="58"/>
      <c r="E60" s="71"/>
      <c r="F60" s="71"/>
      <c r="G60" s="73"/>
      <c r="H60" s="83"/>
      <c r="I60" s="83"/>
      <c r="J60" s="83"/>
      <c r="K60" s="83"/>
      <c r="L60" s="83"/>
      <c r="M60" s="5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 customHeight="1" x14ac:dyDescent="0.25">
      <c r="A61" s="82"/>
      <c r="B61" s="58"/>
      <c r="C61" s="58"/>
      <c r="D61" s="58"/>
      <c r="E61" s="71"/>
      <c r="F61" s="71"/>
      <c r="G61" s="73"/>
      <c r="H61" s="83"/>
      <c r="I61" s="83"/>
      <c r="J61" s="83"/>
      <c r="K61" s="83"/>
      <c r="L61" s="83"/>
      <c r="M61" s="5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 customHeight="1" x14ac:dyDescent="0.25">
      <c r="A62" s="82"/>
      <c r="B62" s="58"/>
      <c r="C62" s="58"/>
      <c r="D62" s="58"/>
      <c r="E62" s="71"/>
      <c r="F62" s="71"/>
      <c r="G62" s="73"/>
      <c r="H62" s="83"/>
      <c r="I62" s="83"/>
      <c r="J62" s="83"/>
      <c r="K62" s="83"/>
      <c r="L62" s="83"/>
      <c r="M62" s="5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M63" s="5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25">
      <c r="A64" s="238" t="s">
        <v>90</v>
      </c>
      <c r="B64" s="229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thickBot="1" x14ac:dyDescent="0.3">
      <c r="A65" s="88" t="s">
        <v>154</v>
      </c>
      <c r="B65" s="89">
        <v>2022</v>
      </c>
      <c r="C65" s="90"/>
      <c r="D65" s="90"/>
      <c r="E65" s="65"/>
      <c r="F65" s="65"/>
      <c r="G65" s="65"/>
      <c r="H65" s="90"/>
      <c r="I65" s="90"/>
      <c r="J65" s="90"/>
      <c r="K65" s="90"/>
      <c r="L65" s="90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A66" s="91" t="s">
        <v>2</v>
      </c>
      <c r="B66" s="231" t="s">
        <v>3</v>
      </c>
      <c r="C66" s="231" t="s">
        <v>92</v>
      </c>
      <c r="D66" s="228" t="s">
        <v>93</v>
      </c>
      <c r="E66" s="241" t="s">
        <v>8</v>
      </c>
      <c r="F66" s="244" t="s">
        <v>94</v>
      </c>
      <c r="G66" s="244" t="s">
        <v>9</v>
      </c>
      <c r="H66" s="231" t="s">
        <v>11</v>
      </c>
      <c r="I66" s="231" t="s">
        <v>95</v>
      </c>
      <c r="J66" s="228" t="s">
        <v>12</v>
      </c>
      <c r="K66" s="228" t="s">
        <v>13</v>
      </c>
      <c r="L66" s="228" t="s">
        <v>14</v>
      </c>
      <c r="M66" s="5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25">
      <c r="A67" s="90" t="s">
        <v>15</v>
      </c>
      <c r="B67" s="229"/>
      <c r="C67" s="229"/>
      <c r="D67" s="229"/>
      <c r="E67" s="242"/>
      <c r="F67" s="229"/>
      <c r="G67" s="229"/>
      <c r="H67" s="229"/>
      <c r="I67" s="229"/>
      <c r="J67" s="229"/>
      <c r="K67" s="229"/>
      <c r="L67" s="229"/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x14ac:dyDescent="0.25">
      <c r="A68" s="92" t="s">
        <v>16</v>
      </c>
      <c r="B68" s="237"/>
      <c r="C68" s="237"/>
      <c r="D68" s="237"/>
      <c r="E68" s="243"/>
      <c r="F68" s="237"/>
      <c r="G68" s="237"/>
      <c r="H68" s="237"/>
      <c r="I68" s="237"/>
      <c r="J68" s="237"/>
      <c r="K68" s="237"/>
      <c r="L68" s="237"/>
      <c r="M68" s="5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2" t="s">
        <v>120</v>
      </c>
      <c r="B69" s="235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25">
      <c r="A70" s="8" t="s">
        <v>125</v>
      </c>
      <c r="B70" s="58"/>
      <c r="C70" s="58"/>
      <c r="D70" s="58"/>
      <c r="E70" s="71"/>
      <c r="F70" s="71"/>
      <c r="G70" s="73"/>
      <c r="H70" s="83"/>
      <c r="I70" s="83"/>
      <c r="J70" s="83"/>
      <c r="K70" s="83"/>
      <c r="L70" s="83"/>
      <c r="M70" s="5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25">
      <c r="A71" s="53" t="s">
        <v>126</v>
      </c>
      <c r="B71" s="58"/>
      <c r="C71" s="58"/>
      <c r="D71" s="58"/>
      <c r="E71" s="71"/>
      <c r="F71" s="71"/>
      <c r="G71" s="73"/>
      <c r="H71" s="83"/>
      <c r="I71" s="83"/>
      <c r="J71" s="83"/>
      <c r="K71" s="83"/>
      <c r="L71" s="83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thickBot="1" x14ac:dyDescent="0.3">
      <c r="A72" s="50">
        <v>39783</v>
      </c>
      <c r="B72" s="55">
        <v>1924.35</v>
      </c>
      <c r="C72" s="55">
        <f>1414.39+471.46</f>
        <v>1885.8500000000001</v>
      </c>
      <c r="D72" s="55">
        <v>38.49</v>
      </c>
      <c r="E72" s="67">
        <v>865.95</v>
      </c>
      <c r="F72" s="67"/>
      <c r="G72" s="69">
        <f>SUM(B72:F72)</f>
        <v>4714.6399999999994</v>
      </c>
      <c r="H72" s="56">
        <f>151.54+344.68</f>
        <v>496.22</v>
      </c>
      <c r="I72" s="56">
        <v>43.51</v>
      </c>
      <c r="J72" s="56">
        <f>62.15+1.43+747.16+80.13</f>
        <v>890.87</v>
      </c>
      <c r="K72" s="56">
        <f>H72+I72+J72</f>
        <v>1430.6</v>
      </c>
      <c r="L72" s="56">
        <f>G72-K72</f>
        <v>3284.0399999999995</v>
      </c>
      <c r="M72" s="5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thickTop="1" x14ac:dyDescent="0.25">
      <c r="A73" s="3" t="s">
        <v>127</v>
      </c>
      <c r="B73" s="57"/>
      <c r="C73" s="60"/>
      <c r="D73" s="60"/>
      <c r="E73" s="76"/>
      <c r="F73" s="77"/>
      <c r="G73" s="78"/>
      <c r="H73" s="61"/>
      <c r="I73" s="61"/>
      <c r="J73" s="61"/>
      <c r="K73" s="61"/>
      <c r="L73" s="61"/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25">
      <c r="A74" s="5" t="s">
        <v>116</v>
      </c>
      <c r="B74" s="57"/>
      <c r="C74" s="60"/>
      <c r="D74" s="60"/>
      <c r="E74" s="76"/>
      <c r="F74" s="77"/>
      <c r="G74" s="78"/>
      <c r="H74" s="61"/>
      <c r="I74" s="61"/>
      <c r="J74" s="61"/>
      <c r="K74" s="61"/>
      <c r="L74" s="61"/>
      <c r="M74" s="5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thickBot="1" x14ac:dyDescent="0.3">
      <c r="A75" s="50">
        <v>43325</v>
      </c>
      <c r="B75" s="55">
        <v>1602.84</v>
      </c>
      <c r="C75" s="55">
        <f>467.28+155.76</f>
        <v>623.04</v>
      </c>
      <c r="D75" s="55"/>
      <c r="E75" s="67">
        <v>721.28</v>
      </c>
      <c r="F75" s="67"/>
      <c r="G75" s="69">
        <f>SUM(B75:F75)</f>
        <v>2947.16</v>
      </c>
      <c r="H75" s="56">
        <f>46.72+215.93</f>
        <v>262.64999999999998</v>
      </c>
      <c r="I75" s="56">
        <v>15.31</v>
      </c>
      <c r="J75" s="56">
        <f>62.15+1.95+66.85+26.71</f>
        <v>157.66</v>
      </c>
      <c r="K75" s="56">
        <f>H75+I75+J75</f>
        <v>435.62</v>
      </c>
      <c r="L75" s="56">
        <f>G75-K75</f>
        <v>2511.54</v>
      </c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thickTop="1" x14ac:dyDescent="0.25">
      <c r="A76" s="8" t="s">
        <v>128</v>
      </c>
      <c r="B76" s="57"/>
      <c r="C76" s="57"/>
      <c r="D76" s="57"/>
      <c r="E76" s="70"/>
      <c r="F76" s="70"/>
      <c r="G76" s="66"/>
      <c r="H76" s="54"/>
      <c r="I76" s="54"/>
      <c r="J76" s="54"/>
      <c r="K76" s="54"/>
      <c r="L76" s="54"/>
      <c r="M76" s="5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25">
      <c r="A77" s="10" t="s">
        <v>116</v>
      </c>
      <c r="B77" s="57"/>
      <c r="C77" s="57"/>
      <c r="D77" s="57"/>
      <c r="E77" s="70"/>
      <c r="F77" s="70"/>
      <c r="G77" s="66"/>
      <c r="H77" s="54"/>
      <c r="I77" s="54"/>
      <c r="J77" s="54"/>
      <c r="K77" s="54"/>
      <c r="L77" s="54"/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thickBot="1" x14ac:dyDescent="0.3">
      <c r="A78" s="6">
        <v>43325</v>
      </c>
      <c r="B78" s="55">
        <v>1923.41</v>
      </c>
      <c r="C78" s="55"/>
      <c r="D78" s="55"/>
      <c r="E78" s="67">
        <v>865.53</v>
      </c>
      <c r="F78" s="68"/>
      <c r="G78" s="69">
        <f>SUM(B78:F78)</f>
        <v>2788.94</v>
      </c>
      <c r="H78" s="56">
        <v>243.67</v>
      </c>
      <c r="I78" s="56">
        <v>48.1</v>
      </c>
      <c r="J78" s="56">
        <f>19.23+62.15+2.47+312.02</f>
        <v>395.87</v>
      </c>
      <c r="K78" s="56">
        <f>H78+I78+J78</f>
        <v>687.64</v>
      </c>
      <c r="L78" s="56">
        <f>G78-K78</f>
        <v>2101.3000000000002</v>
      </c>
      <c r="M78" s="5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thickTop="1" x14ac:dyDescent="0.25">
      <c r="A79" s="28" t="s">
        <v>129</v>
      </c>
      <c r="B79" s="235"/>
      <c r="C79" s="236"/>
      <c r="D79" s="236"/>
      <c r="E79" s="236"/>
      <c r="F79" s="236"/>
      <c r="G79" s="236"/>
      <c r="H79" s="236"/>
      <c r="I79" s="236"/>
      <c r="J79" s="236"/>
      <c r="K79" s="236"/>
      <c r="L79" s="236"/>
      <c r="M79" s="5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 x14ac:dyDescent="0.25">
      <c r="A80" s="3" t="s">
        <v>130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5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x14ac:dyDescent="0.25">
      <c r="A81" s="5" t="s">
        <v>131</v>
      </c>
      <c r="B81" s="57"/>
      <c r="C81" s="60"/>
      <c r="D81" s="60"/>
      <c r="E81" s="76"/>
      <c r="F81" s="77"/>
      <c r="G81" s="78"/>
      <c r="H81" s="61"/>
      <c r="I81" s="61"/>
      <c r="J81" s="61"/>
      <c r="K81" s="61"/>
      <c r="L81" s="61"/>
      <c r="M81" s="5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thickBot="1" x14ac:dyDescent="0.3">
      <c r="A82" s="50">
        <v>44509</v>
      </c>
      <c r="B82" s="55">
        <v>2767.74</v>
      </c>
      <c r="C82" s="55"/>
      <c r="D82" s="55"/>
      <c r="E82" s="67"/>
      <c r="F82" s="67"/>
      <c r="G82" s="69">
        <f>SUM(B82:F82)</f>
        <v>2767.74</v>
      </c>
      <c r="H82" s="56">
        <v>228.62</v>
      </c>
      <c r="I82" s="56">
        <v>39.82</v>
      </c>
      <c r="J82" s="56">
        <f>26.64+62.15+2.47</f>
        <v>91.259999999999991</v>
      </c>
      <c r="K82" s="56">
        <f>H82+I82+J82</f>
        <v>359.7</v>
      </c>
      <c r="L82" s="56">
        <f>G82-K82</f>
        <v>2408.04</v>
      </c>
      <c r="M82" s="5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 thickTop="1" x14ac:dyDescent="0.25">
      <c r="A83" s="8" t="s">
        <v>132</v>
      </c>
      <c r="B83" s="12"/>
      <c r="C83" s="12"/>
      <c r="D83" s="12"/>
      <c r="E83" s="12"/>
      <c r="F83" s="12"/>
      <c r="G83" s="23"/>
      <c r="H83" s="23"/>
      <c r="I83" s="23"/>
      <c r="J83" s="23"/>
      <c r="K83" s="23"/>
      <c r="L83" s="23"/>
      <c r="M83" s="5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 x14ac:dyDescent="0.25">
      <c r="A84" s="5" t="s">
        <v>133</v>
      </c>
      <c r="B84" s="57"/>
      <c r="C84" s="57"/>
      <c r="D84" s="57"/>
      <c r="E84" s="70"/>
      <c r="F84" s="70"/>
      <c r="G84" s="66"/>
      <c r="H84" s="54"/>
      <c r="I84" s="54"/>
      <c r="J84" s="54"/>
      <c r="K84" s="54"/>
      <c r="L84" s="54"/>
      <c r="M84" s="52"/>
      <c r="N84" s="1"/>
      <c r="O84" s="1"/>
      <c r="P84" s="34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6.5" customHeight="1" thickBot="1" x14ac:dyDescent="0.3">
      <c r="A85" s="6">
        <v>43325</v>
      </c>
      <c r="B85" s="55">
        <v>2849.96</v>
      </c>
      <c r="C85" s="55"/>
      <c r="D85" s="55"/>
      <c r="E85" s="67">
        <f>B85*45%</f>
        <v>1282.482</v>
      </c>
      <c r="F85" s="68"/>
      <c r="G85" s="69">
        <f>SUM(B85:F85)</f>
        <v>4132.442</v>
      </c>
      <c r="H85" s="56">
        <v>414.71</v>
      </c>
      <c r="I85" s="56">
        <v>145.97999999999999</v>
      </c>
      <c r="J85" s="56">
        <f>28.5+62.15+2.47+26.71</f>
        <v>119.83000000000001</v>
      </c>
      <c r="K85" s="56">
        <f>H85+I85+J85</f>
        <v>680.52</v>
      </c>
      <c r="L85" s="56">
        <f>G85-K85</f>
        <v>3451.922</v>
      </c>
      <c r="M85" s="5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thickTop="1" x14ac:dyDescent="0.25">
      <c r="A86" s="28" t="s">
        <v>134</v>
      </c>
      <c r="B86" s="235"/>
      <c r="C86" s="236"/>
      <c r="D86" s="236"/>
      <c r="E86" s="236"/>
      <c r="F86" s="236"/>
      <c r="G86" s="236"/>
      <c r="H86" s="236"/>
      <c r="I86" s="236"/>
      <c r="J86" s="236"/>
      <c r="K86" s="236"/>
      <c r="L86" s="236"/>
      <c r="M86" s="5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x14ac:dyDescent="0.25">
      <c r="A87" s="8" t="s">
        <v>135</v>
      </c>
      <c r="B87" s="12"/>
      <c r="C87" s="12"/>
      <c r="D87" s="12"/>
      <c r="E87" s="12"/>
      <c r="F87" s="12"/>
      <c r="G87" s="23"/>
      <c r="H87" s="23"/>
      <c r="I87" s="23"/>
      <c r="J87" s="23"/>
      <c r="K87" s="23"/>
      <c r="L87" s="23"/>
      <c r="M87" s="5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 x14ac:dyDescent="0.25">
      <c r="A88" s="5" t="s">
        <v>136</v>
      </c>
      <c r="B88" s="57"/>
      <c r="C88" s="57"/>
      <c r="D88" s="57"/>
      <c r="E88" s="70"/>
      <c r="F88" s="70"/>
      <c r="G88" s="66"/>
      <c r="H88" s="54"/>
      <c r="I88" s="54"/>
      <c r="J88" s="54"/>
      <c r="K88" s="54"/>
      <c r="L88" s="54"/>
      <c r="M88" s="52"/>
      <c r="N88" s="1"/>
      <c r="O88" s="1"/>
      <c r="P88" s="34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6.5" customHeight="1" thickBot="1" x14ac:dyDescent="0.3">
      <c r="A89" s="6">
        <v>43675</v>
      </c>
      <c r="B89" s="55">
        <v>2849.96</v>
      </c>
      <c r="C89" s="55"/>
      <c r="D89" s="55"/>
      <c r="E89" s="67"/>
      <c r="F89" s="68"/>
      <c r="G89" s="69">
        <f>SUM(B89:F89)</f>
        <v>2849.96</v>
      </c>
      <c r="H89" s="56">
        <v>250.99</v>
      </c>
      <c r="I89" s="56">
        <v>52.12</v>
      </c>
      <c r="J89" s="56">
        <f>62.15+2.47+234.81</f>
        <v>299.43</v>
      </c>
      <c r="K89" s="56">
        <f>H89+I89+J89</f>
        <v>602.54</v>
      </c>
      <c r="L89" s="56">
        <f>G89-K89</f>
        <v>2247.42</v>
      </c>
      <c r="M89" s="5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thickTop="1" x14ac:dyDescent="0.25">
      <c r="A90" s="28" t="s">
        <v>137</v>
      </c>
      <c r="B90" s="235"/>
      <c r="C90" s="236"/>
      <c r="D90" s="236"/>
      <c r="E90" s="236"/>
      <c r="F90" s="236"/>
      <c r="G90" s="236"/>
      <c r="H90" s="236"/>
      <c r="I90" s="236"/>
      <c r="J90" s="236"/>
      <c r="K90" s="236"/>
      <c r="L90" s="236"/>
      <c r="M90" s="5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x14ac:dyDescent="0.25">
      <c r="A91" s="8" t="s">
        <v>138</v>
      </c>
      <c r="B91" s="12"/>
      <c r="C91" s="12"/>
      <c r="D91" s="12"/>
      <c r="E91" s="12"/>
      <c r="F91" s="12"/>
      <c r="G91" s="23"/>
      <c r="H91" s="23"/>
      <c r="I91" s="23"/>
      <c r="J91" s="23"/>
      <c r="K91" s="23"/>
      <c r="L91" s="23"/>
      <c r="M91" s="5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customHeight="1" x14ac:dyDescent="0.25">
      <c r="A92" s="5" t="s">
        <v>131</v>
      </c>
      <c r="B92" s="57"/>
      <c r="C92" s="57"/>
      <c r="D92" s="57"/>
      <c r="E92" s="70"/>
      <c r="F92" s="70"/>
      <c r="G92" s="66"/>
      <c r="H92" s="54"/>
      <c r="I92" s="54"/>
      <c r="J92" s="54"/>
      <c r="K92" s="54"/>
      <c r="L92" s="54"/>
      <c r="M92" s="52"/>
      <c r="N92" s="1"/>
      <c r="O92" s="1"/>
      <c r="P92" s="34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6.5" customHeight="1" thickBot="1" x14ac:dyDescent="0.3">
      <c r="A93" s="6">
        <v>44516</v>
      </c>
      <c r="B93" s="55">
        <v>2663.52</v>
      </c>
      <c r="C93" s="55"/>
      <c r="D93" s="55"/>
      <c r="E93" s="67"/>
      <c r="F93" s="68"/>
      <c r="G93" s="69">
        <f>SUM(B93:F93)</f>
        <v>2663.52</v>
      </c>
      <c r="H93" s="56">
        <v>228.62</v>
      </c>
      <c r="I93" s="56">
        <v>25.6</v>
      </c>
      <c r="J93" s="56">
        <f>62.15+2.47</f>
        <v>64.62</v>
      </c>
      <c r="K93" s="56">
        <f>H93+I93+J93</f>
        <v>318.84000000000003</v>
      </c>
      <c r="L93" s="56">
        <f>G93-K93</f>
        <v>2344.6799999999998</v>
      </c>
      <c r="M93" s="5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 thickTop="1" x14ac:dyDescent="0.25">
      <c r="A94" s="28" t="s">
        <v>139</v>
      </c>
      <c r="B94" s="235"/>
      <c r="C94" s="236"/>
      <c r="D94" s="236"/>
      <c r="E94" s="236"/>
      <c r="F94" s="236"/>
      <c r="G94" s="236"/>
      <c r="H94" s="236"/>
      <c r="I94" s="236"/>
      <c r="J94" s="236"/>
      <c r="K94" s="236"/>
      <c r="L94" s="236"/>
      <c r="M94" s="5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x14ac:dyDescent="0.25">
      <c r="A95" s="8" t="s">
        <v>140</v>
      </c>
      <c r="B95" s="57"/>
      <c r="C95" s="57"/>
      <c r="D95" s="57"/>
      <c r="E95" s="70"/>
      <c r="F95" s="79"/>
      <c r="G95" s="66"/>
      <c r="H95" s="54"/>
      <c r="I95" s="54"/>
      <c r="J95" s="54"/>
      <c r="K95" s="54"/>
      <c r="L95" s="54"/>
      <c r="M95" s="5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 x14ac:dyDescent="0.25">
      <c r="A96" s="10" t="s">
        <v>131</v>
      </c>
      <c r="B96" s="57"/>
      <c r="C96" s="57"/>
      <c r="D96" s="57"/>
      <c r="E96" s="70"/>
      <c r="F96" s="79"/>
      <c r="G96" s="66"/>
      <c r="H96" s="54"/>
      <c r="I96" s="54"/>
      <c r="J96" s="54"/>
      <c r="K96" s="54"/>
      <c r="L96" s="54"/>
      <c r="M96" s="5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thickBot="1" x14ac:dyDescent="0.3">
      <c r="A97" s="6">
        <v>44249</v>
      </c>
      <c r="B97" s="55">
        <v>2663.52</v>
      </c>
      <c r="C97" s="55"/>
      <c r="D97" s="55"/>
      <c r="E97" s="67"/>
      <c r="F97" s="68"/>
      <c r="G97" s="69">
        <f>SUM(B97:F97)</f>
        <v>2663.52</v>
      </c>
      <c r="H97" s="56">
        <v>228.62</v>
      </c>
      <c r="I97" s="56">
        <v>11.38</v>
      </c>
      <c r="J97" s="56">
        <f>62.15+2.34+110.58+26.71</f>
        <v>201.78</v>
      </c>
      <c r="K97" s="56">
        <f>H97+I97+J97</f>
        <v>441.78</v>
      </c>
      <c r="L97" s="56">
        <f>G97-K97</f>
        <v>2221.7399999999998</v>
      </c>
      <c r="M97" s="5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thickTop="1" x14ac:dyDescent="0.25">
      <c r="A98" s="28" t="s">
        <v>141</v>
      </c>
      <c r="B98" s="235"/>
      <c r="C98" s="236"/>
      <c r="D98" s="236"/>
      <c r="E98" s="236"/>
      <c r="F98" s="236"/>
      <c r="G98" s="236"/>
      <c r="H98" s="236"/>
      <c r="I98" s="236"/>
      <c r="J98" s="236"/>
      <c r="K98" s="236"/>
      <c r="L98" s="236"/>
      <c r="M98" s="5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25">
      <c r="A99" s="8" t="s">
        <v>142</v>
      </c>
      <c r="B99" s="57"/>
      <c r="C99" s="57"/>
      <c r="D99" s="57"/>
      <c r="E99" s="70"/>
      <c r="F99" s="79"/>
      <c r="G99" s="66"/>
      <c r="H99" s="54"/>
      <c r="I99" s="54"/>
      <c r="J99" s="54"/>
      <c r="K99" s="54"/>
      <c r="L99" s="54"/>
      <c r="M99" s="5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x14ac:dyDescent="0.25">
      <c r="A100" s="10" t="s">
        <v>131</v>
      </c>
      <c r="B100" s="57"/>
      <c r="C100" s="57"/>
      <c r="D100" s="57"/>
      <c r="E100" s="70"/>
      <c r="F100" s="79"/>
      <c r="G100" s="66"/>
      <c r="H100" s="54"/>
      <c r="I100" s="54"/>
      <c r="J100" s="54"/>
      <c r="K100" s="54"/>
      <c r="L100" s="54"/>
      <c r="M100" s="5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thickBot="1" x14ac:dyDescent="0.3">
      <c r="A101" s="6">
        <v>44249</v>
      </c>
      <c r="B101" s="55">
        <v>2663.52</v>
      </c>
      <c r="C101" s="55"/>
      <c r="D101" s="55"/>
      <c r="E101" s="67"/>
      <c r="F101" s="68"/>
      <c r="G101" s="69">
        <f>SUM(B101:F101)</f>
        <v>2663.52</v>
      </c>
      <c r="H101" s="56">
        <v>228.62</v>
      </c>
      <c r="I101" s="56">
        <v>39.82</v>
      </c>
      <c r="J101" s="56">
        <f>62.15+2.47</f>
        <v>64.62</v>
      </c>
      <c r="K101" s="56">
        <f>H101+I101+J101</f>
        <v>333.06</v>
      </c>
      <c r="L101" s="56">
        <f>G101-K101</f>
        <v>2330.46</v>
      </c>
      <c r="M101" s="5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thickTop="1" x14ac:dyDescent="0.25">
      <c r="A102" s="28" t="s">
        <v>147</v>
      </c>
      <c r="B102" s="235"/>
      <c r="C102" s="236"/>
      <c r="D102" s="236"/>
      <c r="E102" s="236"/>
      <c r="F102" s="236"/>
      <c r="G102" s="236"/>
      <c r="H102" s="236"/>
      <c r="I102" s="236"/>
      <c r="J102" s="236"/>
      <c r="K102" s="236"/>
      <c r="L102" s="236"/>
      <c r="M102" s="5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" customHeight="1" x14ac:dyDescent="0.2">
      <c r="B103" s="63"/>
      <c r="C103" s="63"/>
      <c r="D103" s="63"/>
      <c r="E103" s="81"/>
      <c r="F103" s="81"/>
      <c r="G103" s="81"/>
      <c r="H103" s="63"/>
      <c r="I103" s="63"/>
      <c r="J103" s="63"/>
      <c r="K103" s="63"/>
      <c r="L103" s="63"/>
    </row>
    <row r="104" spans="1:32" ht="15" customHeight="1" x14ac:dyDescent="0.2">
      <c r="B104" s="63"/>
      <c r="C104" s="63"/>
      <c r="D104" s="63"/>
      <c r="E104" s="81"/>
      <c r="F104" s="81"/>
      <c r="G104" s="81"/>
      <c r="H104" s="63"/>
      <c r="I104" s="63"/>
      <c r="J104" s="63"/>
      <c r="K104" s="63"/>
      <c r="L104" s="63"/>
    </row>
    <row r="105" spans="1:32" ht="15" customHeight="1" x14ac:dyDescent="0.2">
      <c r="B105" s="63"/>
      <c r="C105" s="63"/>
      <c r="D105" s="63"/>
      <c r="E105" s="81"/>
      <c r="F105" s="81"/>
      <c r="G105" s="81"/>
      <c r="H105" s="63"/>
      <c r="I105" s="63"/>
      <c r="J105" s="63"/>
      <c r="K105" s="63"/>
      <c r="L105" s="63"/>
    </row>
    <row r="106" spans="1:32" ht="15" customHeight="1" x14ac:dyDescent="0.2">
      <c r="B106" s="63"/>
      <c r="C106" s="63"/>
      <c r="D106" s="63"/>
      <c r="E106" s="81"/>
      <c r="F106" s="81"/>
      <c r="G106" s="81"/>
      <c r="H106" s="63"/>
      <c r="I106" s="63"/>
      <c r="J106" s="63"/>
      <c r="K106" s="63"/>
      <c r="L106" s="63"/>
    </row>
    <row r="107" spans="1:32" ht="15" customHeight="1" x14ac:dyDescent="0.2">
      <c r="B107" s="63"/>
      <c r="C107" s="63"/>
      <c r="D107" s="63"/>
      <c r="E107" s="81"/>
      <c r="F107" s="81"/>
      <c r="G107" s="81"/>
      <c r="H107" s="63"/>
      <c r="I107" s="63"/>
      <c r="J107" s="63"/>
      <c r="K107" s="63"/>
      <c r="L107" s="63"/>
    </row>
    <row r="108" spans="1:32" ht="15" customHeight="1" x14ac:dyDescent="0.2">
      <c r="B108" s="63"/>
      <c r="C108" s="63"/>
      <c r="D108" s="63"/>
      <c r="E108" s="81"/>
      <c r="F108" s="81"/>
      <c r="G108" s="81"/>
      <c r="H108" s="63"/>
      <c r="I108" s="63"/>
      <c r="J108" s="63"/>
      <c r="K108" s="63"/>
      <c r="L108" s="63"/>
    </row>
    <row r="109" spans="1:32" ht="15" customHeight="1" x14ac:dyDescent="0.2">
      <c r="B109" s="63"/>
      <c r="C109" s="63"/>
      <c r="D109" s="63"/>
      <c r="E109" s="81"/>
      <c r="F109" s="81"/>
      <c r="G109" s="81"/>
      <c r="H109" s="63"/>
      <c r="I109" s="63"/>
      <c r="J109" s="63"/>
      <c r="K109" s="63"/>
      <c r="L109" s="63"/>
    </row>
    <row r="110" spans="1:32" ht="15" customHeight="1" x14ac:dyDescent="0.2">
      <c r="B110" s="63"/>
      <c r="C110" s="63"/>
      <c r="D110" s="63"/>
      <c r="E110" s="81"/>
      <c r="F110" s="81"/>
      <c r="G110" s="81"/>
      <c r="H110" s="63"/>
      <c r="I110" s="63"/>
      <c r="J110" s="63"/>
      <c r="K110" s="63"/>
      <c r="L110" s="63"/>
    </row>
    <row r="111" spans="1:32" ht="15" customHeight="1" x14ac:dyDescent="0.2">
      <c r="B111" s="63"/>
      <c r="C111" s="63"/>
      <c r="D111" s="63"/>
      <c r="E111" s="81"/>
      <c r="F111" s="81"/>
      <c r="G111" s="81"/>
      <c r="H111" s="63"/>
      <c r="I111" s="63"/>
      <c r="J111" s="63"/>
      <c r="K111" s="63"/>
      <c r="L111" s="63"/>
    </row>
    <row r="112" spans="1:32" ht="15.75" customHeight="1" x14ac:dyDescent="0.25">
      <c r="A112" s="1"/>
      <c r="B112" s="60"/>
      <c r="C112" s="60"/>
      <c r="D112" s="60"/>
      <c r="E112" s="76"/>
      <c r="F112" s="76"/>
      <c r="G112" s="76"/>
      <c r="H112" s="60"/>
      <c r="I112" s="60"/>
      <c r="J112" s="60"/>
      <c r="K112" s="60"/>
      <c r="L112" s="60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.75" customHeight="1" x14ac:dyDescent="0.25">
      <c r="A113" s="1"/>
      <c r="B113" s="60"/>
      <c r="C113" s="60"/>
      <c r="D113" s="60"/>
      <c r="E113" s="76"/>
      <c r="F113" s="76"/>
      <c r="G113" s="76"/>
      <c r="H113" s="60"/>
      <c r="I113" s="60"/>
      <c r="J113" s="60"/>
      <c r="K113" s="60"/>
      <c r="L113" s="6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.75" customHeight="1" x14ac:dyDescent="0.25">
      <c r="A114" s="1"/>
      <c r="B114" s="60"/>
      <c r="C114" s="60"/>
      <c r="D114" s="60"/>
      <c r="E114" s="76"/>
      <c r="F114" s="76"/>
      <c r="G114" s="76"/>
      <c r="H114" s="60"/>
      <c r="I114" s="60"/>
      <c r="J114" s="60"/>
      <c r="K114" s="60"/>
      <c r="L114" s="6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.75" customHeight="1" x14ac:dyDescent="0.25">
      <c r="A115" s="1"/>
      <c r="B115" s="60"/>
      <c r="C115" s="60"/>
      <c r="D115" s="60"/>
      <c r="E115" s="76"/>
      <c r="F115" s="76"/>
      <c r="G115" s="76"/>
      <c r="H115" s="60"/>
      <c r="I115" s="60"/>
      <c r="J115" s="60"/>
      <c r="K115" s="60"/>
      <c r="L115" s="6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 x14ac:dyDescent="0.25">
      <c r="A116" s="1"/>
      <c r="B116" s="60"/>
      <c r="C116" s="60"/>
      <c r="D116" s="60"/>
      <c r="E116" s="76"/>
      <c r="F116" s="76"/>
      <c r="G116" s="76"/>
      <c r="H116" s="60"/>
      <c r="I116" s="60"/>
      <c r="J116" s="60"/>
      <c r="K116" s="60"/>
      <c r="L116" s="60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 x14ac:dyDescent="0.25">
      <c r="A117" s="1"/>
      <c r="B117" s="60"/>
      <c r="C117" s="60"/>
      <c r="D117" s="60"/>
      <c r="E117" s="76"/>
      <c r="F117" s="76"/>
      <c r="G117" s="76"/>
      <c r="H117" s="60"/>
      <c r="I117" s="60"/>
      <c r="J117" s="60"/>
      <c r="K117" s="60"/>
      <c r="L117" s="60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 x14ac:dyDescent="0.25">
      <c r="A118" s="1"/>
      <c r="B118" s="60"/>
      <c r="C118" s="60"/>
      <c r="D118" s="60"/>
      <c r="E118" s="76"/>
      <c r="F118" s="76"/>
      <c r="G118" s="76"/>
      <c r="H118" s="60"/>
      <c r="I118" s="60"/>
      <c r="J118" s="60"/>
      <c r="K118" s="60"/>
      <c r="L118" s="64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 x14ac:dyDescent="0.25">
      <c r="A119" s="1"/>
      <c r="B119" s="60"/>
      <c r="C119" s="60"/>
      <c r="D119" s="60"/>
      <c r="E119" s="76"/>
      <c r="F119" s="76"/>
      <c r="G119" s="76"/>
      <c r="H119" s="60"/>
      <c r="I119" s="60"/>
      <c r="J119" s="60"/>
      <c r="K119" s="60"/>
      <c r="L119" s="60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 x14ac:dyDescent="0.25">
      <c r="A120" s="1"/>
      <c r="B120" s="60"/>
      <c r="C120" s="60"/>
      <c r="D120" s="60"/>
      <c r="E120" s="76"/>
      <c r="F120" s="76"/>
      <c r="G120" s="76"/>
      <c r="H120" s="60"/>
      <c r="I120" s="60"/>
      <c r="J120" s="60"/>
      <c r="K120" s="60"/>
      <c r="L120" s="6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 x14ac:dyDescent="0.25">
      <c r="A121" s="1"/>
      <c r="B121" s="60"/>
      <c r="C121" s="60"/>
      <c r="D121" s="60"/>
      <c r="E121" s="76"/>
      <c r="F121" s="76"/>
      <c r="G121" s="76"/>
      <c r="H121" s="60"/>
      <c r="I121" s="60"/>
      <c r="J121" s="60"/>
      <c r="K121" s="60"/>
      <c r="L121" s="60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60"/>
      <c r="C122" s="60"/>
      <c r="D122" s="60"/>
      <c r="E122" s="76"/>
      <c r="F122" s="76"/>
      <c r="G122" s="76"/>
      <c r="H122" s="60"/>
      <c r="I122" s="60"/>
      <c r="J122" s="60"/>
      <c r="K122" s="60"/>
      <c r="L122" s="6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60"/>
      <c r="C123" s="60"/>
      <c r="D123" s="60"/>
      <c r="E123" s="76"/>
      <c r="F123" s="76"/>
      <c r="G123" s="76"/>
      <c r="H123" s="60"/>
      <c r="I123" s="60"/>
      <c r="J123" s="60"/>
      <c r="K123" s="60"/>
      <c r="L123" s="6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60"/>
      <c r="C124" s="60"/>
      <c r="D124" s="60"/>
      <c r="E124" s="76"/>
      <c r="F124" s="76"/>
      <c r="G124" s="76"/>
      <c r="H124" s="60"/>
      <c r="I124" s="60"/>
      <c r="J124" s="60"/>
      <c r="K124" s="60"/>
      <c r="L124" s="6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60"/>
      <c r="C125" s="60"/>
      <c r="D125" s="60"/>
      <c r="E125" s="76"/>
      <c r="F125" s="76"/>
      <c r="G125" s="76"/>
      <c r="H125" s="60"/>
      <c r="I125" s="60"/>
      <c r="J125" s="60"/>
      <c r="K125" s="60"/>
      <c r="L125" s="6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60"/>
      <c r="C126" s="60"/>
      <c r="D126" s="60"/>
      <c r="E126" s="76"/>
      <c r="F126" s="76"/>
      <c r="G126" s="76"/>
      <c r="H126" s="60"/>
      <c r="I126" s="60"/>
      <c r="J126" s="60"/>
      <c r="K126" s="60"/>
      <c r="L126" s="6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60"/>
      <c r="C127" s="60"/>
      <c r="D127" s="60"/>
      <c r="E127" s="76"/>
      <c r="F127" s="76"/>
      <c r="G127" s="76"/>
      <c r="H127" s="60"/>
      <c r="I127" s="60"/>
      <c r="J127" s="60"/>
      <c r="K127" s="60"/>
      <c r="L127" s="60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60"/>
      <c r="C128" s="60"/>
      <c r="D128" s="60"/>
      <c r="E128" s="76"/>
      <c r="F128" s="76"/>
      <c r="G128" s="76"/>
      <c r="H128" s="60"/>
      <c r="I128" s="60"/>
      <c r="J128" s="60"/>
      <c r="K128" s="60"/>
      <c r="L128" s="6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60"/>
      <c r="C129" s="60"/>
      <c r="D129" s="60"/>
      <c r="E129" s="76"/>
      <c r="F129" s="76"/>
      <c r="G129" s="76"/>
      <c r="H129" s="60"/>
      <c r="I129" s="60"/>
      <c r="J129" s="60"/>
      <c r="K129" s="60"/>
      <c r="L129" s="6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60"/>
      <c r="C130" s="60"/>
      <c r="D130" s="60"/>
      <c r="E130" s="76"/>
      <c r="F130" s="76"/>
      <c r="G130" s="76"/>
      <c r="H130" s="60"/>
      <c r="I130" s="60"/>
      <c r="J130" s="60"/>
      <c r="K130" s="60"/>
      <c r="L130" s="6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60"/>
      <c r="C131" s="60"/>
      <c r="D131" s="60"/>
      <c r="E131" s="76"/>
      <c r="F131" s="76"/>
      <c r="G131" s="76"/>
      <c r="H131" s="60"/>
      <c r="I131" s="60"/>
      <c r="J131" s="60"/>
      <c r="K131" s="60"/>
      <c r="L131" s="6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60"/>
      <c r="C132" s="60"/>
      <c r="D132" s="60"/>
      <c r="E132" s="76"/>
      <c r="F132" s="76"/>
      <c r="G132" s="76"/>
      <c r="H132" s="60"/>
      <c r="I132" s="60"/>
      <c r="J132" s="60"/>
      <c r="K132" s="60"/>
      <c r="L132" s="6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60"/>
      <c r="C133" s="60"/>
      <c r="D133" s="60"/>
      <c r="E133" s="76"/>
      <c r="F133" s="76"/>
      <c r="G133" s="76"/>
      <c r="H133" s="60"/>
      <c r="I133" s="60"/>
      <c r="J133" s="60"/>
      <c r="K133" s="60"/>
      <c r="L133" s="6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60"/>
      <c r="C134" s="60"/>
      <c r="D134" s="60"/>
      <c r="E134" s="76"/>
      <c r="F134" s="76"/>
      <c r="G134" s="76"/>
      <c r="H134" s="60"/>
      <c r="I134" s="60"/>
      <c r="J134" s="60"/>
      <c r="K134" s="60"/>
      <c r="L134" s="60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60"/>
      <c r="C135" s="60"/>
      <c r="D135" s="60"/>
      <c r="E135" s="76"/>
      <c r="F135" s="76"/>
      <c r="G135" s="76"/>
      <c r="H135" s="60"/>
      <c r="I135" s="60"/>
      <c r="J135" s="60"/>
      <c r="K135" s="60"/>
      <c r="L135" s="6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60"/>
      <c r="C136" s="60"/>
      <c r="D136" s="60"/>
      <c r="E136" s="76"/>
      <c r="F136" s="76"/>
      <c r="G136" s="76"/>
      <c r="H136" s="60"/>
      <c r="I136" s="60"/>
      <c r="J136" s="60"/>
      <c r="K136" s="60"/>
      <c r="L136" s="6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60"/>
      <c r="C137" s="60"/>
      <c r="D137" s="60"/>
      <c r="E137" s="76"/>
      <c r="F137" s="76"/>
      <c r="G137" s="76"/>
      <c r="H137" s="60"/>
      <c r="I137" s="60"/>
      <c r="J137" s="60"/>
      <c r="K137" s="60"/>
      <c r="L137" s="6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60"/>
      <c r="C138" s="60"/>
      <c r="D138" s="60"/>
      <c r="E138" s="76"/>
      <c r="F138" s="76"/>
      <c r="G138" s="76"/>
      <c r="H138" s="60"/>
      <c r="I138" s="60"/>
      <c r="J138" s="60"/>
      <c r="K138" s="60"/>
      <c r="L138" s="60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25">
      <c r="A139" s="1"/>
      <c r="B139" s="60"/>
      <c r="C139" s="60"/>
      <c r="D139" s="60"/>
      <c r="E139" s="76"/>
      <c r="F139" s="76"/>
      <c r="G139" s="76"/>
      <c r="H139" s="60"/>
      <c r="I139" s="60"/>
      <c r="J139" s="60"/>
      <c r="K139" s="60"/>
      <c r="L139" s="60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25">
      <c r="A140" s="1"/>
      <c r="B140" s="60"/>
      <c r="C140" s="60"/>
      <c r="D140" s="60"/>
      <c r="E140" s="76"/>
      <c r="F140" s="76"/>
      <c r="G140" s="76"/>
      <c r="H140" s="60"/>
      <c r="I140" s="60"/>
      <c r="J140" s="60"/>
      <c r="K140" s="60"/>
      <c r="L140" s="60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25">
      <c r="A141" s="1"/>
      <c r="B141" s="60"/>
      <c r="C141" s="60"/>
      <c r="D141" s="60"/>
      <c r="E141" s="76"/>
      <c r="F141" s="76"/>
      <c r="G141" s="76"/>
      <c r="H141" s="60"/>
      <c r="I141" s="60"/>
      <c r="J141" s="60"/>
      <c r="K141" s="60"/>
      <c r="L141" s="6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25">
      <c r="A142" s="1"/>
      <c r="B142" s="60"/>
      <c r="C142" s="60"/>
      <c r="D142" s="60"/>
      <c r="E142" s="76"/>
      <c r="F142" s="76"/>
      <c r="G142" s="76"/>
      <c r="H142" s="60"/>
      <c r="I142" s="60"/>
      <c r="J142" s="60"/>
      <c r="K142" s="60"/>
      <c r="L142" s="6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25">
      <c r="A143" s="1"/>
      <c r="B143" s="60"/>
      <c r="C143" s="60"/>
      <c r="D143" s="60"/>
      <c r="E143" s="76"/>
      <c r="F143" s="76"/>
      <c r="G143" s="76"/>
      <c r="H143" s="60"/>
      <c r="I143" s="60"/>
      <c r="J143" s="60"/>
      <c r="K143" s="60"/>
      <c r="L143" s="60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25">
      <c r="A144" s="1"/>
      <c r="B144" s="60"/>
      <c r="C144" s="60"/>
      <c r="D144" s="60"/>
      <c r="E144" s="76"/>
      <c r="F144" s="76"/>
      <c r="G144" s="76"/>
      <c r="H144" s="60"/>
      <c r="I144" s="60"/>
      <c r="J144" s="60"/>
      <c r="K144" s="60"/>
      <c r="L144" s="60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25">
      <c r="A145" s="1"/>
      <c r="B145" s="60"/>
      <c r="C145" s="60"/>
      <c r="D145" s="60"/>
      <c r="E145" s="76"/>
      <c r="F145" s="76"/>
      <c r="G145" s="76"/>
      <c r="H145" s="60"/>
      <c r="I145" s="60"/>
      <c r="J145" s="60"/>
      <c r="K145" s="60"/>
      <c r="L145" s="60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25">
      <c r="A146" s="1"/>
      <c r="B146" s="60"/>
      <c r="C146" s="60"/>
      <c r="D146" s="60"/>
      <c r="E146" s="76"/>
      <c r="F146" s="76"/>
      <c r="G146" s="76"/>
      <c r="H146" s="60"/>
      <c r="I146" s="60"/>
      <c r="J146" s="60"/>
      <c r="K146" s="60"/>
      <c r="L146" s="6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25">
      <c r="A147" s="1"/>
      <c r="B147" s="60"/>
      <c r="C147" s="60"/>
      <c r="D147" s="60"/>
      <c r="E147" s="76"/>
      <c r="F147" s="76"/>
      <c r="G147" s="76"/>
      <c r="H147" s="60"/>
      <c r="I147" s="60"/>
      <c r="J147" s="60"/>
      <c r="K147" s="60"/>
      <c r="L147" s="6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25">
      <c r="A148" s="1"/>
      <c r="B148" s="60"/>
      <c r="C148" s="60"/>
      <c r="D148" s="60"/>
      <c r="E148" s="76"/>
      <c r="F148" s="76"/>
      <c r="G148" s="76"/>
      <c r="H148" s="60"/>
      <c r="I148" s="60"/>
      <c r="J148" s="60"/>
      <c r="K148" s="60"/>
      <c r="L148" s="60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25">
      <c r="A149" s="1"/>
      <c r="B149" s="60"/>
      <c r="C149" s="60"/>
      <c r="D149" s="60"/>
      <c r="E149" s="76"/>
      <c r="F149" s="76"/>
      <c r="G149" s="76"/>
      <c r="H149" s="60"/>
      <c r="I149" s="60"/>
      <c r="J149" s="60"/>
      <c r="K149" s="60"/>
      <c r="L149" s="60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25">
      <c r="A150" s="1"/>
      <c r="B150" s="60"/>
      <c r="C150" s="60"/>
      <c r="D150" s="60"/>
      <c r="E150" s="76"/>
      <c r="F150" s="76"/>
      <c r="G150" s="76"/>
      <c r="H150" s="60"/>
      <c r="I150" s="60"/>
      <c r="J150" s="60"/>
      <c r="K150" s="60"/>
      <c r="L150" s="60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25">
      <c r="A151" s="1"/>
      <c r="B151" s="60"/>
      <c r="C151" s="60"/>
      <c r="D151" s="60"/>
      <c r="E151" s="76"/>
      <c r="F151" s="76"/>
      <c r="G151" s="76"/>
      <c r="H151" s="60"/>
      <c r="I151" s="60"/>
      <c r="J151" s="60"/>
      <c r="K151" s="60"/>
      <c r="L151" s="60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25">
      <c r="A152" s="1"/>
      <c r="B152" s="60"/>
      <c r="C152" s="60"/>
      <c r="D152" s="60"/>
      <c r="E152" s="76"/>
      <c r="F152" s="76"/>
      <c r="G152" s="76"/>
      <c r="H152" s="60"/>
      <c r="I152" s="60"/>
      <c r="J152" s="60"/>
      <c r="K152" s="60"/>
      <c r="L152" s="6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25">
      <c r="A153" s="1"/>
      <c r="B153" s="60"/>
      <c r="C153" s="60"/>
      <c r="D153" s="60"/>
      <c r="E153" s="76"/>
      <c r="F153" s="76"/>
      <c r="G153" s="76"/>
      <c r="H153" s="60"/>
      <c r="I153" s="60"/>
      <c r="J153" s="60"/>
      <c r="K153" s="60"/>
      <c r="L153" s="60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25">
      <c r="A154" s="1"/>
      <c r="B154" s="60"/>
      <c r="C154" s="60"/>
      <c r="D154" s="60"/>
      <c r="E154" s="76"/>
      <c r="F154" s="76"/>
      <c r="G154" s="76"/>
      <c r="H154" s="60"/>
      <c r="I154" s="60"/>
      <c r="J154" s="60"/>
      <c r="K154" s="60"/>
      <c r="L154" s="60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25">
      <c r="A155" s="1"/>
      <c r="B155" s="60"/>
      <c r="C155" s="60"/>
      <c r="D155" s="60"/>
      <c r="E155" s="76"/>
      <c r="F155" s="76"/>
      <c r="G155" s="76"/>
      <c r="H155" s="60"/>
      <c r="I155" s="60"/>
      <c r="J155" s="60"/>
      <c r="K155" s="60"/>
      <c r="L155" s="60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25">
      <c r="A156" s="1"/>
      <c r="B156" s="60"/>
      <c r="C156" s="60"/>
      <c r="D156" s="60"/>
      <c r="E156" s="76"/>
      <c r="F156" s="76"/>
      <c r="G156" s="76"/>
      <c r="H156" s="60"/>
      <c r="I156" s="60"/>
      <c r="J156" s="60"/>
      <c r="K156" s="60"/>
      <c r="L156" s="60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25">
      <c r="A157" s="1"/>
      <c r="B157" s="60"/>
      <c r="C157" s="60"/>
      <c r="D157" s="60"/>
      <c r="E157" s="76"/>
      <c r="F157" s="76"/>
      <c r="G157" s="76"/>
      <c r="H157" s="60"/>
      <c r="I157" s="60"/>
      <c r="J157" s="60"/>
      <c r="K157" s="60"/>
      <c r="L157" s="60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25">
      <c r="A158" s="1"/>
      <c r="B158" s="60"/>
      <c r="C158" s="60"/>
      <c r="D158" s="60"/>
      <c r="E158" s="76"/>
      <c r="F158" s="76"/>
      <c r="G158" s="76"/>
      <c r="H158" s="60"/>
      <c r="I158" s="60"/>
      <c r="J158" s="60"/>
      <c r="K158" s="60"/>
      <c r="L158" s="60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25">
      <c r="A159" s="1"/>
      <c r="B159" s="60"/>
      <c r="C159" s="60"/>
      <c r="D159" s="60"/>
      <c r="E159" s="76"/>
      <c r="F159" s="76"/>
      <c r="G159" s="76"/>
      <c r="H159" s="60"/>
      <c r="I159" s="60"/>
      <c r="J159" s="60"/>
      <c r="K159" s="60"/>
      <c r="L159" s="60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25">
      <c r="A160" s="1"/>
      <c r="B160" s="60"/>
      <c r="C160" s="60"/>
      <c r="D160" s="60"/>
      <c r="E160" s="76"/>
      <c r="F160" s="76"/>
      <c r="G160" s="76"/>
      <c r="H160" s="60"/>
      <c r="I160" s="60"/>
      <c r="J160" s="60"/>
      <c r="K160" s="60"/>
      <c r="L160" s="60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25">
      <c r="A161" s="1"/>
      <c r="B161" s="60"/>
      <c r="C161" s="60"/>
      <c r="D161" s="60"/>
      <c r="E161" s="76"/>
      <c r="F161" s="76"/>
      <c r="G161" s="76"/>
      <c r="H161" s="60"/>
      <c r="I161" s="60"/>
      <c r="J161" s="60"/>
      <c r="K161" s="60"/>
      <c r="L161" s="6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25">
      <c r="A162" s="1"/>
      <c r="B162" s="60"/>
      <c r="C162" s="60"/>
      <c r="D162" s="60"/>
      <c r="E162" s="76"/>
      <c r="F162" s="76"/>
      <c r="G162" s="76"/>
      <c r="H162" s="60"/>
      <c r="I162" s="60"/>
      <c r="J162" s="60"/>
      <c r="K162" s="60"/>
      <c r="L162" s="60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25">
      <c r="A163" s="1"/>
      <c r="B163" s="60"/>
      <c r="C163" s="60"/>
      <c r="D163" s="60"/>
      <c r="E163" s="76"/>
      <c r="F163" s="76"/>
      <c r="G163" s="76"/>
      <c r="H163" s="60"/>
      <c r="I163" s="60"/>
      <c r="J163" s="60"/>
      <c r="K163" s="60"/>
      <c r="L163" s="60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25">
      <c r="A164" s="1"/>
      <c r="B164" s="60"/>
      <c r="C164" s="60"/>
      <c r="D164" s="60"/>
      <c r="E164" s="76"/>
      <c r="F164" s="76"/>
      <c r="G164" s="76"/>
      <c r="H164" s="60"/>
      <c r="I164" s="60"/>
      <c r="J164" s="60"/>
      <c r="K164" s="60"/>
      <c r="L164" s="60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25">
      <c r="A165" s="1"/>
      <c r="B165" s="60"/>
      <c r="C165" s="60"/>
      <c r="D165" s="60"/>
      <c r="E165" s="76"/>
      <c r="F165" s="76"/>
      <c r="G165" s="76"/>
      <c r="H165" s="60"/>
      <c r="I165" s="60"/>
      <c r="J165" s="60"/>
      <c r="K165" s="60"/>
      <c r="L165" s="6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25">
      <c r="A166" s="1"/>
      <c r="B166" s="60"/>
      <c r="C166" s="60"/>
      <c r="D166" s="60"/>
      <c r="E166" s="76"/>
      <c r="F166" s="76"/>
      <c r="G166" s="76"/>
      <c r="H166" s="60"/>
      <c r="I166" s="60"/>
      <c r="J166" s="60"/>
      <c r="K166" s="60"/>
      <c r="L166" s="60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25">
      <c r="A167" s="1"/>
      <c r="B167" s="60"/>
      <c r="C167" s="60"/>
      <c r="D167" s="60"/>
      <c r="E167" s="76"/>
      <c r="F167" s="76"/>
      <c r="G167" s="76"/>
      <c r="H167" s="60"/>
      <c r="I167" s="60"/>
      <c r="J167" s="60"/>
      <c r="K167" s="60"/>
      <c r="L167" s="6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25">
      <c r="A168" s="1"/>
      <c r="B168" s="60"/>
      <c r="C168" s="60"/>
      <c r="D168" s="60"/>
      <c r="E168" s="76"/>
      <c r="F168" s="76"/>
      <c r="G168" s="76"/>
      <c r="H168" s="60"/>
      <c r="I168" s="60"/>
      <c r="J168" s="60"/>
      <c r="K168" s="60"/>
      <c r="L168" s="6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25">
      <c r="A169" s="1"/>
      <c r="B169" s="60"/>
      <c r="C169" s="60"/>
      <c r="D169" s="60"/>
      <c r="E169" s="76"/>
      <c r="F169" s="76"/>
      <c r="G169" s="76"/>
      <c r="H169" s="60"/>
      <c r="I169" s="60"/>
      <c r="J169" s="60"/>
      <c r="K169" s="60"/>
      <c r="L169" s="60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25">
      <c r="A170" s="1"/>
      <c r="B170" s="60"/>
      <c r="C170" s="60"/>
      <c r="D170" s="60"/>
      <c r="E170" s="76"/>
      <c r="F170" s="76"/>
      <c r="G170" s="76"/>
      <c r="H170" s="60"/>
      <c r="I170" s="60"/>
      <c r="J170" s="60"/>
      <c r="K170" s="60"/>
      <c r="L170" s="6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25">
      <c r="A171" s="1"/>
      <c r="B171" s="60"/>
      <c r="C171" s="60"/>
      <c r="D171" s="60"/>
      <c r="E171" s="76"/>
      <c r="F171" s="76"/>
      <c r="G171" s="76"/>
      <c r="H171" s="60"/>
      <c r="I171" s="60"/>
      <c r="J171" s="60"/>
      <c r="K171" s="60"/>
      <c r="L171" s="60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25">
      <c r="A172" s="1"/>
      <c r="B172" s="60"/>
      <c r="C172" s="60"/>
      <c r="D172" s="60"/>
      <c r="E172" s="76"/>
      <c r="F172" s="76"/>
      <c r="G172" s="76"/>
      <c r="H172" s="60"/>
      <c r="I172" s="60"/>
      <c r="J172" s="60"/>
      <c r="K172" s="60"/>
      <c r="L172" s="6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25">
      <c r="A173" s="1"/>
      <c r="B173" s="60"/>
      <c r="C173" s="60"/>
      <c r="D173" s="60"/>
      <c r="E173" s="76"/>
      <c r="F173" s="76"/>
      <c r="G173" s="76"/>
      <c r="H173" s="60"/>
      <c r="I173" s="60"/>
      <c r="J173" s="60"/>
      <c r="K173" s="60"/>
      <c r="L173" s="60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25">
      <c r="A174" s="1"/>
      <c r="B174" s="60"/>
      <c r="C174" s="60"/>
      <c r="D174" s="60"/>
      <c r="E174" s="76"/>
      <c r="F174" s="76"/>
      <c r="G174" s="76"/>
      <c r="H174" s="60"/>
      <c r="I174" s="60"/>
      <c r="J174" s="60"/>
      <c r="K174" s="60"/>
      <c r="L174" s="6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25">
      <c r="A175" s="1"/>
      <c r="B175" s="60"/>
      <c r="C175" s="60"/>
      <c r="D175" s="60"/>
      <c r="E175" s="76"/>
      <c r="F175" s="76"/>
      <c r="G175" s="76"/>
      <c r="H175" s="60"/>
      <c r="I175" s="60"/>
      <c r="J175" s="60"/>
      <c r="K175" s="60"/>
      <c r="L175" s="6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25">
      <c r="A176" s="1"/>
      <c r="B176" s="60"/>
      <c r="C176" s="60"/>
      <c r="D176" s="60"/>
      <c r="E176" s="76"/>
      <c r="F176" s="76"/>
      <c r="G176" s="76"/>
      <c r="H176" s="60"/>
      <c r="I176" s="60"/>
      <c r="J176" s="60"/>
      <c r="K176" s="60"/>
      <c r="L176" s="60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25">
      <c r="A177" s="1"/>
      <c r="B177" s="60"/>
      <c r="C177" s="60"/>
      <c r="D177" s="60"/>
      <c r="E177" s="76"/>
      <c r="F177" s="76"/>
      <c r="G177" s="76"/>
      <c r="H177" s="60"/>
      <c r="I177" s="60"/>
      <c r="J177" s="60"/>
      <c r="K177" s="60"/>
      <c r="L177" s="60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25">
      <c r="A178" s="1"/>
      <c r="B178" s="60"/>
      <c r="C178" s="60"/>
      <c r="D178" s="60"/>
      <c r="E178" s="76"/>
      <c r="F178" s="76"/>
      <c r="G178" s="76"/>
      <c r="H178" s="60"/>
      <c r="I178" s="60"/>
      <c r="J178" s="60"/>
      <c r="K178" s="60"/>
      <c r="L178" s="60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25">
      <c r="A179" s="1"/>
      <c r="B179" s="60"/>
      <c r="C179" s="60"/>
      <c r="D179" s="60"/>
      <c r="E179" s="76"/>
      <c r="F179" s="76"/>
      <c r="G179" s="76"/>
      <c r="H179" s="60"/>
      <c r="I179" s="60"/>
      <c r="J179" s="60"/>
      <c r="K179" s="60"/>
      <c r="L179" s="6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25">
      <c r="A180" s="1"/>
      <c r="B180" s="60"/>
      <c r="C180" s="60"/>
      <c r="D180" s="60"/>
      <c r="E180" s="76"/>
      <c r="F180" s="76"/>
      <c r="G180" s="76"/>
      <c r="H180" s="60"/>
      <c r="I180" s="60"/>
      <c r="J180" s="60"/>
      <c r="K180" s="60"/>
      <c r="L180" s="60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25">
      <c r="A181" s="1"/>
      <c r="B181" s="60"/>
      <c r="C181" s="60"/>
      <c r="D181" s="60"/>
      <c r="E181" s="76"/>
      <c r="F181" s="76"/>
      <c r="G181" s="76"/>
      <c r="H181" s="60"/>
      <c r="I181" s="60"/>
      <c r="J181" s="60"/>
      <c r="K181" s="60"/>
      <c r="L181" s="6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25">
      <c r="A182" s="1"/>
      <c r="B182" s="60"/>
      <c r="C182" s="60"/>
      <c r="D182" s="60"/>
      <c r="E182" s="76"/>
      <c r="F182" s="76"/>
      <c r="G182" s="76"/>
      <c r="H182" s="60"/>
      <c r="I182" s="60"/>
      <c r="J182" s="60"/>
      <c r="K182" s="60"/>
      <c r="L182" s="60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25">
      <c r="A183" s="1"/>
      <c r="B183" s="60"/>
      <c r="C183" s="60"/>
      <c r="D183" s="60"/>
      <c r="E183" s="76"/>
      <c r="F183" s="76"/>
      <c r="G183" s="76"/>
      <c r="H183" s="60"/>
      <c r="I183" s="60"/>
      <c r="J183" s="60"/>
      <c r="K183" s="60"/>
      <c r="L183" s="6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25">
      <c r="A184" s="1"/>
      <c r="B184" s="60"/>
      <c r="C184" s="60"/>
      <c r="D184" s="60"/>
      <c r="E184" s="76"/>
      <c r="F184" s="76"/>
      <c r="G184" s="76"/>
      <c r="H184" s="60"/>
      <c r="I184" s="60"/>
      <c r="J184" s="60"/>
      <c r="K184" s="60"/>
      <c r="L184" s="6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25">
      <c r="A185" s="1"/>
      <c r="B185" s="60"/>
      <c r="C185" s="60"/>
      <c r="D185" s="60"/>
      <c r="E185" s="76"/>
      <c r="F185" s="76"/>
      <c r="G185" s="76"/>
      <c r="H185" s="60"/>
      <c r="I185" s="60"/>
      <c r="J185" s="60"/>
      <c r="K185" s="60"/>
      <c r="L185" s="6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25">
      <c r="A186" s="1"/>
      <c r="B186" s="60"/>
      <c r="C186" s="60"/>
      <c r="D186" s="60"/>
      <c r="E186" s="76"/>
      <c r="F186" s="76"/>
      <c r="G186" s="76"/>
      <c r="H186" s="60"/>
      <c r="I186" s="60"/>
      <c r="J186" s="60"/>
      <c r="K186" s="60"/>
      <c r="L186" s="6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25">
      <c r="A187" s="1"/>
      <c r="B187" s="60"/>
      <c r="C187" s="60"/>
      <c r="D187" s="60"/>
      <c r="E187" s="76"/>
      <c r="F187" s="76"/>
      <c r="G187" s="76"/>
      <c r="H187" s="60"/>
      <c r="I187" s="60"/>
      <c r="J187" s="60"/>
      <c r="K187" s="60"/>
      <c r="L187" s="60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25">
      <c r="A188" s="1"/>
      <c r="B188" s="60"/>
      <c r="C188" s="60"/>
      <c r="D188" s="60"/>
      <c r="E188" s="76"/>
      <c r="F188" s="76"/>
      <c r="G188" s="76"/>
      <c r="H188" s="60"/>
      <c r="I188" s="60"/>
      <c r="J188" s="60"/>
      <c r="K188" s="60"/>
      <c r="L188" s="6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25">
      <c r="A189" s="1"/>
      <c r="B189" s="60"/>
      <c r="C189" s="60"/>
      <c r="D189" s="60"/>
      <c r="E189" s="76"/>
      <c r="F189" s="76"/>
      <c r="G189" s="76"/>
      <c r="H189" s="60"/>
      <c r="I189" s="60"/>
      <c r="J189" s="60"/>
      <c r="K189" s="60"/>
      <c r="L189" s="6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25">
      <c r="A190" s="1"/>
      <c r="B190" s="60"/>
      <c r="C190" s="60"/>
      <c r="D190" s="60"/>
      <c r="E190" s="76"/>
      <c r="F190" s="76"/>
      <c r="G190" s="76"/>
      <c r="H190" s="60"/>
      <c r="I190" s="60"/>
      <c r="J190" s="60"/>
      <c r="K190" s="60"/>
      <c r="L190" s="6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25">
      <c r="A191" s="1"/>
      <c r="B191" s="60"/>
      <c r="C191" s="60"/>
      <c r="D191" s="60"/>
      <c r="E191" s="76"/>
      <c r="F191" s="76"/>
      <c r="G191" s="76"/>
      <c r="H191" s="60"/>
      <c r="I191" s="60"/>
      <c r="J191" s="60"/>
      <c r="K191" s="60"/>
      <c r="L191" s="60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25">
      <c r="A192" s="1"/>
      <c r="B192" s="60"/>
      <c r="C192" s="60"/>
      <c r="D192" s="60"/>
      <c r="E192" s="76"/>
      <c r="F192" s="76"/>
      <c r="G192" s="76"/>
      <c r="H192" s="60"/>
      <c r="I192" s="60"/>
      <c r="J192" s="60"/>
      <c r="K192" s="60"/>
      <c r="L192" s="6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25">
      <c r="A193" s="1"/>
      <c r="B193" s="60"/>
      <c r="C193" s="60"/>
      <c r="D193" s="60"/>
      <c r="E193" s="76"/>
      <c r="F193" s="76"/>
      <c r="G193" s="76"/>
      <c r="H193" s="60"/>
      <c r="I193" s="60"/>
      <c r="J193" s="60"/>
      <c r="K193" s="60"/>
      <c r="L193" s="6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25">
      <c r="A194" s="1"/>
      <c r="B194" s="60"/>
      <c r="C194" s="60"/>
      <c r="D194" s="60"/>
      <c r="E194" s="76"/>
      <c r="F194" s="76"/>
      <c r="G194" s="76"/>
      <c r="H194" s="60"/>
      <c r="I194" s="60"/>
      <c r="J194" s="60"/>
      <c r="K194" s="60"/>
      <c r="L194" s="6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25">
      <c r="A195" s="1"/>
      <c r="B195" s="60"/>
      <c r="C195" s="60"/>
      <c r="D195" s="60"/>
      <c r="E195" s="76"/>
      <c r="F195" s="76"/>
      <c r="G195" s="76"/>
      <c r="H195" s="60"/>
      <c r="I195" s="60"/>
      <c r="J195" s="60"/>
      <c r="K195" s="60"/>
      <c r="L195" s="6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4.25" customHeight="1" x14ac:dyDescent="0.2"/>
    <row r="310" spans="1:32" ht="14.25" customHeight="1" x14ac:dyDescent="0.2"/>
    <row r="311" spans="1:32" ht="14.25" customHeight="1" x14ac:dyDescent="0.2"/>
    <row r="312" spans="1:32" ht="14.25" customHeight="1" x14ac:dyDescent="0.2"/>
    <row r="313" spans="1:32" ht="14.25" customHeight="1" x14ac:dyDescent="0.2"/>
    <row r="314" spans="1:32" ht="14.25" customHeight="1" x14ac:dyDescent="0.2"/>
    <row r="315" spans="1:32" ht="14.25" customHeight="1" x14ac:dyDescent="0.2"/>
    <row r="316" spans="1:32" ht="14.25" customHeight="1" x14ac:dyDescent="0.2"/>
    <row r="317" spans="1:32" ht="14.25" customHeight="1" x14ac:dyDescent="0.2"/>
    <row r="318" spans="1:32" ht="14.25" customHeight="1" x14ac:dyDescent="0.2"/>
    <row r="319" spans="1:32" ht="14.25" customHeight="1" x14ac:dyDescent="0.2"/>
    <row r="320" spans="1:32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  <row r="1007" ht="14.25" customHeight="1" x14ac:dyDescent="0.2"/>
    <row r="1008" ht="14.25" customHeight="1" x14ac:dyDescent="0.2"/>
    <row r="1009" ht="14.25" customHeight="1" x14ac:dyDescent="0.2"/>
    <row r="1010" ht="14.25" customHeight="1" x14ac:dyDescent="0.2"/>
    <row r="1011" ht="14.25" customHeight="1" x14ac:dyDescent="0.2"/>
    <row r="1012" ht="14.25" customHeight="1" x14ac:dyDescent="0.2"/>
    <row r="1013" ht="14.25" customHeight="1" x14ac:dyDescent="0.2"/>
    <row r="1014" ht="14.25" customHeight="1" x14ac:dyDescent="0.2"/>
    <row r="1015" ht="14.25" customHeight="1" x14ac:dyDescent="0.2"/>
    <row r="1016" ht="14.25" customHeight="1" x14ac:dyDescent="0.2"/>
    <row r="1017" ht="14.25" customHeight="1" x14ac:dyDescent="0.2"/>
    <row r="1018" ht="14.25" customHeight="1" x14ac:dyDescent="0.2"/>
    <row r="1019" ht="14.25" customHeight="1" x14ac:dyDescent="0.2"/>
    <row r="1020" ht="14.25" customHeight="1" x14ac:dyDescent="0.2"/>
    <row r="1021" ht="14.25" customHeight="1" x14ac:dyDescent="0.2"/>
    <row r="1022" ht="14.25" customHeight="1" x14ac:dyDescent="0.2"/>
    <row r="1023" ht="14.25" customHeight="1" x14ac:dyDescent="0.2"/>
    <row r="1024" ht="14.25" customHeight="1" x14ac:dyDescent="0.2"/>
    <row r="1025" ht="14.25" customHeight="1" x14ac:dyDescent="0.2"/>
    <row r="1026" ht="14.25" customHeight="1" x14ac:dyDescent="0.2"/>
    <row r="1027" ht="14.25" customHeight="1" x14ac:dyDescent="0.2"/>
    <row r="1028" ht="14.25" customHeight="1" x14ac:dyDescent="0.2"/>
    <row r="1029" ht="14.25" customHeight="1" x14ac:dyDescent="0.2"/>
    <row r="1030" ht="14.25" customHeight="1" x14ac:dyDescent="0.2"/>
  </sheetData>
  <mergeCells count="33"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L66:L68"/>
    <mergeCell ref="K3:K5"/>
    <mergeCell ref="L3:L5"/>
    <mergeCell ref="B6:L6"/>
    <mergeCell ref="B46:L46"/>
    <mergeCell ref="A64:L64"/>
    <mergeCell ref="B66:B68"/>
    <mergeCell ref="C66:C68"/>
    <mergeCell ref="D66:D68"/>
    <mergeCell ref="E66:E68"/>
    <mergeCell ref="F66:F68"/>
    <mergeCell ref="G66:G68"/>
    <mergeCell ref="H66:H68"/>
    <mergeCell ref="I66:I68"/>
    <mergeCell ref="J66:J68"/>
    <mergeCell ref="K66:K68"/>
    <mergeCell ref="B102:L102"/>
    <mergeCell ref="B69:L69"/>
    <mergeCell ref="B79:L79"/>
    <mergeCell ref="B86:L86"/>
    <mergeCell ref="B90:L90"/>
    <mergeCell ref="B94:L94"/>
    <mergeCell ref="B98:L98"/>
  </mergeCells>
  <printOptions horizontalCentered="1"/>
  <pageMargins left="0.31496062992125984" right="0.31496062992125984" top="0.39370078740157483" bottom="0.39370078740157483" header="0" footer="0"/>
  <pageSetup paperSize="9"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1033"/>
  <sheetViews>
    <sheetView topLeftCell="E57" zoomScaleNormal="100" workbookViewId="0">
      <selection activeCell="E57" sqref="E57"/>
    </sheetView>
  </sheetViews>
  <sheetFormatPr defaultColWidth="12.625" defaultRowHeight="15" customHeight="1" x14ac:dyDescent="0.2"/>
  <cols>
    <col min="1" max="1" width="30.125" customWidth="1"/>
    <col min="2" max="2" width="10.875" customWidth="1"/>
    <col min="3" max="3" width="10.25" customWidth="1"/>
    <col min="4" max="4" width="11.875" customWidth="1"/>
    <col min="5" max="5" width="11.375" bestFit="1" customWidth="1"/>
    <col min="6" max="6" width="9.625" customWidth="1"/>
    <col min="7" max="7" width="15" customWidth="1"/>
    <col min="8" max="8" width="12.75" customWidth="1"/>
    <col min="9" max="9" width="10.375" customWidth="1"/>
    <col min="10" max="10" width="12.5" customWidth="1"/>
    <col min="11" max="11" width="10.25" customWidth="1"/>
    <col min="12" max="12" width="15.375" customWidth="1"/>
    <col min="13" max="13" width="8" customWidth="1"/>
    <col min="14" max="14" width="9.875" customWidth="1"/>
    <col min="15" max="15" width="8" customWidth="1"/>
    <col min="16" max="16" width="10.25" customWidth="1"/>
    <col min="17" max="32" width="8" customWidth="1"/>
  </cols>
  <sheetData>
    <row r="1" spans="1:32" ht="14.25" customHeight="1" x14ac:dyDescent="0.25">
      <c r="A1" s="238" t="s">
        <v>90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5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customHeight="1" thickBot="1" x14ac:dyDescent="0.3">
      <c r="A2" s="88" t="s">
        <v>1</v>
      </c>
      <c r="B2" s="89">
        <v>2022</v>
      </c>
      <c r="C2" s="90"/>
      <c r="D2" s="90"/>
      <c r="E2" s="65"/>
      <c r="F2" s="65"/>
      <c r="G2" s="65"/>
      <c r="H2" s="90"/>
      <c r="I2" s="90"/>
      <c r="J2" s="90"/>
      <c r="K2" s="90"/>
      <c r="L2" s="90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91" t="s">
        <v>2</v>
      </c>
      <c r="B3" s="231" t="s">
        <v>3</v>
      </c>
      <c r="C3" s="231" t="s">
        <v>92</v>
      </c>
      <c r="D3" s="228" t="s">
        <v>93</v>
      </c>
      <c r="E3" s="241" t="s">
        <v>8</v>
      </c>
      <c r="F3" s="244" t="s">
        <v>94</v>
      </c>
      <c r="G3" s="244" t="s">
        <v>9</v>
      </c>
      <c r="H3" s="231" t="s">
        <v>11</v>
      </c>
      <c r="I3" s="231" t="s">
        <v>95</v>
      </c>
      <c r="J3" s="228" t="s">
        <v>12</v>
      </c>
      <c r="K3" s="228" t="s">
        <v>13</v>
      </c>
      <c r="L3" s="228" t="s">
        <v>14</v>
      </c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x14ac:dyDescent="0.25">
      <c r="A4" s="90" t="s">
        <v>15</v>
      </c>
      <c r="B4" s="229"/>
      <c r="C4" s="229"/>
      <c r="D4" s="229"/>
      <c r="E4" s="242"/>
      <c r="F4" s="229"/>
      <c r="G4" s="229"/>
      <c r="H4" s="229"/>
      <c r="I4" s="229"/>
      <c r="J4" s="229"/>
      <c r="K4" s="229"/>
      <c r="L4" s="229"/>
      <c r="M4" s="5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 x14ac:dyDescent="0.25">
      <c r="A5" s="92" t="s">
        <v>16</v>
      </c>
      <c r="B5" s="237"/>
      <c r="C5" s="237"/>
      <c r="D5" s="237"/>
      <c r="E5" s="243"/>
      <c r="F5" s="237"/>
      <c r="G5" s="237"/>
      <c r="H5" s="237"/>
      <c r="I5" s="237"/>
      <c r="J5" s="237"/>
      <c r="K5" s="237"/>
      <c r="L5" s="237"/>
      <c r="M5" s="5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 x14ac:dyDescent="0.25">
      <c r="A6" s="2" t="s">
        <v>96</v>
      </c>
      <c r="B6" s="235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5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 x14ac:dyDescent="0.25">
      <c r="A7" s="8" t="s">
        <v>99</v>
      </c>
      <c r="B7" s="54"/>
      <c r="C7" s="54"/>
      <c r="D7" s="54"/>
      <c r="E7" s="66"/>
      <c r="F7" s="66"/>
      <c r="G7" s="66"/>
      <c r="H7" s="54"/>
      <c r="I7" s="54"/>
      <c r="J7" s="54"/>
      <c r="K7" s="54"/>
      <c r="L7" s="54"/>
      <c r="M7" s="5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 x14ac:dyDescent="0.25">
      <c r="A8" s="10" t="s">
        <v>151</v>
      </c>
      <c r="B8" s="54"/>
      <c r="C8" s="54"/>
      <c r="D8" s="54"/>
      <c r="E8" s="66"/>
      <c r="F8" s="66"/>
      <c r="G8" s="66"/>
      <c r="H8" s="54"/>
      <c r="I8" s="54"/>
      <c r="J8" s="54"/>
      <c r="K8" s="54"/>
      <c r="L8" s="54"/>
      <c r="M8" s="5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 thickBot="1" x14ac:dyDescent="0.3">
      <c r="A9" s="6">
        <v>43171</v>
      </c>
      <c r="B9" s="55">
        <v>2058.0500000000002</v>
      </c>
      <c r="C9" s="55"/>
      <c r="D9" s="55"/>
      <c r="E9" s="67"/>
      <c r="F9" s="68"/>
      <c r="G9" s="69">
        <f>SUM(B9:F9)</f>
        <v>2058.0500000000002</v>
      </c>
      <c r="H9" s="56">
        <v>167.04</v>
      </c>
      <c r="I9" s="56"/>
      <c r="J9" s="56">
        <f>62.15+2.34+66.85</f>
        <v>131.33999999999997</v>
      </c>
      <c r="K9" s="56">
        <f>SUM(H9:J9)</f>
        <v>298.38</v>
      </c>
      <c r="L9" s="56">
        <f>G9-K9</f>
        <v>1759.67</v>
      </c>
      <c r="M9" s="5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.75" customHeight="1" thickTop="1" x14ac:dyDescent="0.25">
      <c r="A10" s="8" t="s">
        <v>101</v>
      </c>
      <c r="B10" s="57"/>
      <c r="C10" s="57"/>
      <c r="D10" s="57"/>
      <c r="E10" s="70"/>
      <c r="F10" s="70"/>
      <c r="G10" s="66"/>
      <c r="H10" s="54"/>
      <c r="I10" s="54"/>
      <c r="J10" s="54"/>
      <c r="K10" s="54"/>
      <c r="L10" s="54"/>
      <c r="M10" s="5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.75" customHeight="1" x14ac:dyDescent="0.25">
      <c r="A11" s="5" t="s">
        <v>144</v>
      </c>
      <c r="B11" s="57"/>
      <c r="C11" s="57"/>
      <c r="D11" s="57"/>
      <c r="E11" s="70"/>
      <c r="F11" s="70"/>
      <c r="G11" s="66"/>
      <c r="H11" s="54"/>
      <c r="I11" s="54"/>
      <c r="J11" s="54"/>
      <c r="K11" s="54"/>
      <c r="L11" s="54"/>
      <c r="M11" s="52"/>
      <c r="N11" s="1"/>
      <c r="O11" s="1"/>
      <c r="P11" s="34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.75" customHeight="1" thickBot="1" x14ac:dyDescent="0.3">
      <c r="A12" s="6">
        <v>42037</v>
      </c>
      <c r="B12" s="55">
        <v>4097.53</v>
      </c>
      <c r="C12" s="55"/>
      <c r="D12" s="55">
        <v>81.95</v>
      </c>
      <c r="E12" s="67"/>
      <c r="F12" s="68"/>
      <c r="G12" s="69">
        <f>SUM(B12:F12)</f>
        <v>4179.4799999999996</v>
      </c>
      <c r="H12" s="56">
        <v>421.3</v>
      </c>
      <c r="I12" s="56">
        <v>209.46</v>
      </c>
      <c r="J12" s="56">
        <f>62.15+2.6+126.81</f>
        <v>191.56</v>
      </c>
      <c r="K12" s="56">
        <f>H12+I12+J12</f>
        <v>822.31999999999994</v>
      </c>
      <c r="L12" s="56">
        <f>G12-K12</f>
        <v>3357.16</v>
      </c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4.25" customHeight="1" thickTop="1" x14ac:dyDescent="0.25">
      <c r="A13" s="8" t="s">
        <v>103</v>
      </c>
      <c r="B13" s="57"/>
      <c r="C13" s="57"/>
      <c r="D13" s="57"/>
      <c r="E13" s="70"/>
      <c r="F13" s="70"/>
      <c r="G13" s="66"/>
      <c r="H13" s="54"/>
      <c r="I13" s="54"/>
      <c r="J13" s="54"/>
      <c r="K13" s="54"/>
      <c r="L13" s="54"/>
      <c r="M13" s="5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4.25" customHeight="1" x14ac:dyDescent="0.25">
      <c r="A14" s="5" t="s">
        <v>104</v>
      </c>
      <c r="B14" s="57"/>
      <c r="C14" s="57"/>
      <c r="D14" s="57"/>
      <c r="E14" s="70"/>
      <c r="F14" s="70"/>
      <c r="G14" s="66"/>
      <c r="H14" s="54"/>
      <c r="I14" s="54"/>
      <c r="J14" s="54"/>
      <c r="K14" s="54"/>
      <c r="L14" s="54"/>
      <c r="M14" s="5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4.25" customHeight="1" thickBot="1" x14ac:dyDescent="0.3">
      <c r="A15" s="6">
        <v>41319</v>
      </c>
      <c r="B15" s="55">
        <v>6678.33</v>
      </c>
      <c r="C15" s="55"/>
      <c r="D15" s="55">
        <v>133.56</v>
      </c>
      <c r="E15" s="67">
        <v>3005.25</v>
      </c>
      <c r="F15" s="68"/>
      <c r="G15" s="69">
        <f>SUM(B15:F15)</f>
        <v>9817.14</v>
      </c>
      <c r="H15" s="56">
        <v>828.38</v>
      </c>
      <c r="I15" s="56">
        <v>1498.27</v>
      </c>
      <c r="J15" s="56">
        <f>62.15+2.34+26.71</f>
        <v>91.199999999999989</v>
      </c>
      <c r="K15" s="56">
        <f>H15+I15+J15</f>
        <v>2417.85</v>
      </c>
      <c r="L15" s="56">
        <f>G15-K15</f>
        <v>7399.2899999999991</v>
      </c>
      <c r="M15" s="5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 thickTop="1" x14ac:dyDescent="0.25">
      <c r="A16" s="8" t="s">
        <v>105</v>
      </c>
      <c r="B16" s="58"/>
      <c r="C16" s="58"/>
      <c r="D16" s="58"/>
      <c r="E16" s="71"/>
      <c r="F16" s="72"/>
      <c r="G16" s="73"/>
      <c r="H16" s="83"/>
      <c r="I16" s="83"/>
      <c r="J16" s="83"/>
      <c r="K16" s="83"/>
      <c r="L16" s="83"/>
      <c r="M16" s="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 x14ac:dyDescent="0.25">
      <c r="A17" s="53" t="s">
        <v>106</v>
      </c>
      <c r="B17" s="58"/>
      <c r="C17" s="58"/>
      <c r="D17" s="58"/>
      <c r="E17" s="71"/>
      <c r="F17" s="72"/>
      <c r="G17" s="73"/>
      <c r="H17" s="83"/>
      <c r="I17" s="83"/>
      <c r="J17" s="83"/>
      <c r="K17" s="83"/>
      <c r="L17" s="83"/>
      <c r="M17" s="5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.75" customHeight="1" thickBot="1" x14ac:dyDescent="0.3">
      <c r="A18" s="49">
        <v>44522</v>
      </c>
      <c r="B18" s="56">
        <v>3578.94</v>
      </c>
      <c r="C18" s="56"/>
      <c r="D18" s="56"/>
      <c r="E18" s="69"/>
      <c r="F18" s="74"/>
      <c r="G18" s="69">
        <f>SUM(B18:F18)</f>
        <v>3578.94</v>
      </c>
      <c r="H18" s="56">
        <v>338.47</v>
      </c>
      <c r="I18" s="56">
        <v>102.83</v>
      </c>
      <c r="J18" s="56">
        <f>62.15+2.6+341.28</f>
        <v>406.03</v>
      </c>
      <c r="K18" s="56">
        <f>H18+I18+J18</f>
        <v>847.32999999999993</v>
      </c>
      <c r="L18" s="56">
        <f>G18-K18</f>
        <v>2731.61</v>
      </c>
      <c r="M18" s="5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.75" customHeight="1" thickTop="1" x14ac:dyDescent="0.25">
      <c r="A19" s="3" t="s">
        <v>107</v>
      </c>
      <c r="B19" s="54"/>
      <c r="C19" s="54"/>
      <c r="D19" s="54"/>
      <c r="E19" s="66"/>
      <c r="F19" s="66"/>
      <c r="G19" s="66"/>
      <c r="H19" s="54"/>
      <c r="I19" s="54"/>
      <c r="J19" s="54"/>
      <c r="K19" s="54"/>
      <c r="L19" s="54"/>
      <c r="M19" s="5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.75" customHeight="1" x14ac:dyDescent="0.25">
      <c r="A20" s="5" t="s">
        <v>108</v>
      </c>
      <c r="B20" s="54"/>
      <c r="C20" s="54"/>
      <c r="D20" s="54"/>
      <c r="E20" s="66"/>
      <c r="F20" s="66"/>
      <c r="G20" s="66"/>
      <c r="H20" s="54"/>
      <c r="I20" s="54"/>
      <c r="J20" s="54"/>
      <c r="K20" s="54"/>
      <c r="L20" s="54"/>
      <c r="M20" s="5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thickBot="1" x14ac:dyDescent="0.3">
      <c r="A21" s="49">
        <v>44207</v>
      </c>
      <c r="B21" s="56">
        <v>1797.58</v>
      </c>
      <c r="C21" s="56"/>
      <c r="D21" s="56"/>
      <c r="E21" s="69"/>
      <c r="F21" s="74"/>
      <c r="G21" s="69">
        <f>SUM(B21:F21)</f>
        <v>1797.58</v>
      </c>
      <c r="H21" s="56">
        <v>143.6</v>
      </c>
      <c r="I21" s="59"/>
      <c r="J21" s="56">
        <f>62.15+2.6+191.75+26.71</f>
        <v>283.20999999999998</v>
      </c>
      <c r="K21" s="56">
        <f>SUM(H21:J21)</f>
        <v>426.80999999999995</v>
      </c>
      <c r="L21" s="56">
        <f>G21-K21</f>
        <v>1370.77</v>
      </c>
      <c r="M21" s="5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thickTop="1" x14ac:dyDescent="0.25">
      <c r="A22" s="3" t="s">
        <v>145</v>
      </c>
      <c r="B22" s="54"/>
      <c r="C22" s="54"/>
      <c r="D22" s="54"/>
      <c r="E22" s="66"/>
      <c r="F22" s="66"/>
      <c r="G22" s="66"/>
      <c r="H22" s="54"/>
      <c r="I22" s="54"/>
      <c r="J22" s="54"/>
      <c r="K22" s="54"/>
      <c r="L22" s="54"/>
      <c r="M22" s="5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5" t="s">
        <v>146</v>
      </c>
      <c r="B23" s="54"/>
      <c r="C23" s="54"/>
      <c r="D23" s="54"/>
      <c r="E23" s="66"/>
      <c r="F23" s="66"/>
      <c r="G23" s="66"/>
      <c r="H23" s="54"/>
      <c r="I23" s="54"/>
      <c r="J23" s="54"/>
      <c r="K23" s="54"/>
      <c r="L23" s="54"/>
      <c r="M23" s="5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thickBot="1" x14ac:dyDescent="0.3">
      <c r="A24" s="49">
        <v>44608</v>
      </c>
      <c r="B24" s="56">
        <v>4000</v>
      </c>
      <c r="C24" s="56"/>
      <c r="D24" s="56"/>
      <c r="E24" s="69"/>
      <c r="F24" s="74"/>
      <c r="G24" s="69">
        <f>SUM(B24:F24)</f>
        <v>4000</v>
      </c>
      <c r="H24" s="56">
        <v>396.17</v>
      </c>
      <c r="I24" s="59">
        <v>157.34</v>
      </c>
      <c r="J24" s="56">
        <f>62.15+2.6</f>
        <v>64.75</v>
      </c>
      <c r="K24" s="56">
        <f>SUM(H24:J24)</f>
        <v>618.26</v>
      </c>
      <c r="L24" s="56">
        <f>G24-K24</f>
        <v>3381.74</v>
      </c>
      <c r="M24" s="5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thickTop="1" x14ac:dyDescent="0.25">
      <c r="A25" s="3" t="s">
        <v>109</v>
      </c>
      <c r="B25" s="54"/>
      <c r="C25" s="54"/>
      <c r="D25" s="54"/>
      <c r="E25" s="66"/>
      <c r="F25" s="66"/>
      <c r="G25" s="66"/>
      <c r="H25" s="54"/>
      <c r="I25" s="54"/>
      <c r="J25" s="54"/>
      <c r="K25" s="54"/>
      <c r="L25" s="54"/>
      <c r="M25" s="5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5" t="s">
        <v>110</v>
      </c>
      <c r="B26" s="54"/>
      <c r="C26" s="54"/>
      <c r="D26" s="54"/>
      <c r="E26" s="66"/>
      <c r="F26" s="66"/>
      <c r="G26" s="66"/>
      <c r="H26" s="54"/>
      <c r="I26" s="54"/>
      <c r="J26" s="54"/>
      <c r="K26" s="54"/>
      <c r="L26" s="54"/>
      <c r="M26" s="5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thickBot="1" x14ac:dyDescent="0.3">
      <c r="A27" s="49">
        <v>43739</v>
      </c>
      <c r="B27" s="56">
        <v>3829.46</v>
      </c>
      <c r="C27" s="56"/>
      <c r="D27" s="56"/>
      <c r="E27" s="69"/>
      <c r="F27" s="87"/>
      <c r="G27" s="69">
        <f>SUM(B27:F27)</f>
        <v>3829.46</v>
      </c>
      <c r="H27" s="56">
        <v>372.3</v>
      </c>
      <c r="I27" s="59">
        <v>163.77000000000001</v>
      </c>
      <c r="J27" s="56">
        <f>62.15+2.6+164.39+53.42</f>
        <v>282.56</v>
      </c>
      <c r="K27" s="56">
        <f>SUM(H27:J27)</f>
        <v>818.63000000000011</v>
      </c>
      <c r="L27" s="56">
        <f>G27-K27</f>
        <v>3010.83</v>
      </c>
      <c r="M27" s="5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4.25" customHeight="1" thickTop="1" x14ac:dyDescent="0.25">
      <c r="A28" s="8" t="s">
        <v>111</v>
      </c>
      <c r="B28" s="54"/>
      <c r="C28" s="54"/>
      <c r="D28" s="54"/>
      <c r="E28" s="66"/>
      <c r="F28" s="66"/>
      <c r="G28" s="66"/>
      <c r="H28" s="54"/>
      <c r="I28" s="54"/>
      <c r="J28" s="54"/>
      <c r="K28" s="54"/>
      <c r="L28" s="54"/>
      <c r="M28" s="5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4.25" customHeight="1" x14ac:dyDescent="0.25">
      <c r="A29" s="10" t="s">
        <v>100</v>
      </c>
      <c r="B29" s="54"/>
      <c r="C29" s="54"/>
      <c r="D29" s="54"/>
      <c r="E29" s="66"/>
      <c r="F29" s="66"/>
      <c r="G29" s="66"/>
      <c r="H29" s="54"/>
      <c r="I29" s="54"/>
      <c r="J29" s="54"/>
      <c r="K29" s="54"/>
      <c r="L29" s="54"/>
      <c r="M29" s="5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4.25" customHeight="1" thickBot="1" x14ac:dyDescent="0.3">
      <c r="A30" s="6">
        <v>43648</v>
      </c>
      <c r="B30" s="55">
        <v>1923.41</v>
      </c>
      <c r="C30" s="55"/>
      <c r="D30" s="55"/>
      <c r="E30" s="67"/>
      <c r="F30" s="68"/>
      <c r="G30" s="69">
        <f>SUM(B30:F30)</f>
        <v>1923.41</v>
      </c>
      <c r="H30" s="56">
        <v>154.91999999999999</v>
      </c>
      <c r="I30" s="56"/>
      <c r="J30" s="56">
        <f>62.15+2.6</f>
        <v>64.75</v>
      </c>
      <c r="K30" s="56">
        <f>SUM(H30:J30)</f>
        <v>219.67</v>
      </c>
      <c r="L30" s="56">
        <f>G30-K30</f>
        <v>1703.74</v>
      </c>
      <c r="M30" s="5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 thickTop="1" x14ac:dyDescent="0.25">
      <c r="A31" s="8" t="s">
        <v>112</v>
      </c>
      <c r="B31" s="54"/>
      <c r="C31" s="54"/>
      <c r="D31" s="54"/>
      <c r="E31" s="66"/>
      <c r="F31" s="66"/>
      <c r="G31" s="66"/>
      <c r="H31" s="54"/>
      <c r="I31" s="54"/>
      <c r="J31" s="54"/>
      <c r="K31" s="54"/>
      <c r="L31" s="54"/>
      <c r="M31" s="5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 x14ac:dyDescent="0.25">
      <c r="A32" s="10" t="s">
        <v>113</v>
      </c>
      <c r="B32" s="54"/>
      <c r="C32" s="54"/>
      <c r="D32" s="54"/>
      <c r="E32" s="66"/>
      <c r="F32" s="66"/>
      <c r="G32" s="66"/>
      <c r="H32" s="54"/>
      <c r="I32" s="54"/>
      <c r="J32" s="54"/>
      <c r="K32" s="54"/>
      <c r="L32" s="54"/>
      <c r="M32" s="5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 thickBot="1" x14ac:dyDescent="0.3">
      <c r="A33" s="6">
        <v>44580</v>
      </c>
      <c r="B33" s="55">
        <v>3578.94</v>
      </c>
      <c r="C33" s="55"/>
      <c r="D33" s="55"/>
      <c r="E33" s="67"/>
      <c r="F33" s="68">
        <v>447.37</v>
      </c>
      <c r="G33" s="69">
        <f>SUM(B33:F33)</f>
        <v>4026.31</v>
      </c>
      <c r="H33" s="56">
        <v>338.47</v>
      </c>
      <c r="I33" s="56">
        <v>131.27000000000001</v>
      </c>
      <c r="J33" s="56">
        <f>62.15+2.47+622.88</f>
        <v>687.5</v>
      </c>
      <c r="K33" s="56">
        <f>SUM(H33:J33)</f>
        <v>1157.24</v>
      </c>
      <c r="L33" s="56">
        <f>G33-K33</f>
        <v>2869.0699999999997</v>
      </c>
      <c r="M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 thickTop="1" x14ac:dyDescent="0.25">
      <c r="A34" s="3" t="s">
        <v>114</v>
      </c>
      <c r="B34" s="84"/>
      <c r="C34" s="84"/>
      <c r="D34" s="84"/>
      <c r="E34" s="75"/>
      <c r="F34" s="75"/>
      <c r="G34" s="75"/>
      <c r="H34" s="84"/>
      <c r="I34" s="84"/>
      <c r="J34" s="84"/>
      <c r="K34" s="84"/>
      <c r="L34" s="84"/>
      <c r="M34" s="5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 x14ac:dyDescent="0.25">
      <c r="A35" s="5" t="s">
        <v>100</v>
      </c>
      <c r="B35" s="57"/>
      <c r="C35" s="57"/>
      <c r="D35" s="57"/>
      <c r="E35" s="70"/>
      <c r="F35" s="70"/>
      <c r="G35" s="66"/>
      <c r="H35" s="54"/>
      <c r="I35" s="54"/>
      <c r="J35" s="54"/>
      <c r="K35" s="54"/>
      <c r="L35" s="54"/>
      <c r="M35" s="5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 thickBot="1" x14ac:dyDescent="0.3">
      <c r="A36" s="6">
        <v>43325</v>
      </c>
      <c r="B36" s="55">
        <v>992.73</v>
      </c>
      <c r="C36" s="55">
        <f>961.71+320.57</f>
        <v>1282.28</v>
      </c>
      <c r="D36" s="55"/>
      <c r="E36" s="67"/>
      <c r="F36" s="68"/>
      <c r="G36" s="69">
        <f>SUM(B36:F36)</f>
        <v>2275.0100000000002</v>
      </c>
      <c r="H36" s="59">
        <f>89.35+97.22</f>
        <v>186.57</v>
      </c>
      <c r="I36" s="56"/>
      <c r="J36" s="59">
        <f>62.15+1.17+90.21+26.71</f>
        <v>180.24</v>
      </c>
      <c r="K36" s="56">
        <f>SUM(H36:J36)</f>
        <v>366.81</v>
      </c>
      <c r="L36" s="56">
        <f>G36-K36</f>
        <v>1908.2000000000003</v>
      </c>
      <c r="M36" s="5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 thickTop="1" x14ac:dyDescent="0.25">
      <c r="A37" s="8" t="s">
        <v>115</v>
      </c>
      <c r="B37" s="57"/>
      <c r="C37" s="57"/>
      <c r="D37" s="57"/>
      <c r="E37" s="70"/>
      <c r="F37" s="70"/>
      <c r="G37" s="66"/>
      <c r="H37" s="54"/>
      <c r="I37" s="54"/>
      <c r="J37" s="54"/>
      <c r="K37" s="54"/>
      <c r="L37" s="54"/>
      <c r="M37" s="5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 x14ac:dyDescent="0.25">
      <c r="A38" s="10" t="s">
        <v>116</v>
      </c>
      <c r="B38" s="57"/>
      <c r="C38" s="57"/>
      <c r="D38" s="57"/>
      <c r="E38" s="70"/>
      <c r="F38" s="70"/>
      <c r="G38" s="66"/>
      <c r="H38" s="54"/>
      <c r="I38" s="54"/>
      <c r="J38" s="54"/>
      <c r="K38" s="54"/>
      <c r="L38" s="54"/>
      <c r="M38" s="5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 thickBot="1" x14ac:dyDescent="0.3">
      <c r="A39" s="6">
        <v>43325</v>
      </c>
      <c r="B39" s="55">
        <v>1923.41</v>
      </c>
      <c r="C39" s="55"/>
      <c r="D39" s="55"/>
      <c r="E39" s="67">
        <v>865.53</v>
      </c>
      <c r="F39" s="68"/>
      <c r="G39" s="69">
        <f>SUM(B39:F39)</f>
        <v>2788.94</v>
      </c>
      <c r="H39" s="56">
        <v>243.67</v>
      </c>
      <c r="I39" s="56">
        <v>48.1</v>
      </c>
      <c r="J39" s="56">
        <f>19.23+62.15+2.6+417.6</f>
        <v>501.58000000000004</v>
      </c>
      <c r="K39" s="56">
        <f>H39+I39+J39</f>
        <v>793.35</v>
      </c>
      <c r="L39" s="56">
        <f>G39-K39</f>
        <v>1995.5900000000001</v>
      </c>
      <c r="M39" s="5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 thickTop="1" x14ac:dyDescent="0.25">
      <c r="A40" s="8" t="s">
        <v>117</v>
      </c>
      <c r="B40" s="54"/>
      <c r="C40" s="54"/>
      <c r="D40" s="54"/>
      <c r="E40" s="66"/>
      <c r="F40" s="66"/>
      <c r="G40" s="66"/>
      <c r="H40" s="54"/>
      <c r="I40" s="54"/>
      <c r="J40" s="54"/>
      <c r="K40" s="54"/>
      <c r="L40" s="54"/>
      <c r="M40" s="5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 x14ac:dyDescent="0.25">
      <c r="A41" s="5" t="s">
        <v>100</v>
      </c>
      <c r="B41" s="54"/>
      <c r="C41" s="54"/>
      <c r="D41" s="54"/>
      <c r="E41" s="66"/>
      <c r="F41" s="66"/>
      <c r="G41" s="66"/>
      <c r="H41" s="54"/>
      <c r="I41" s="54"/>
      <c r="J41" s="54"/>
      <c r="K41" s="54"/>
      <c r="L41" s="54"/>
      <c r="M41" s="5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 thickBot="1" x14ac:dyDescent="0.3">
      <c r="A42" s="51">
        <v>43479</v>
      </c>
      <c r="B42" s="56">
        <v>1923.41</v>
      </c>
      <c r="C42" s="56"/>
      <c r="D42" s="56"/>
      <c r="E42" s="69"/>
      <c r="F42" s="74"/>
      <c r="G42" s="69">
        <f>SUM(B42:F42)</f>
        <v>1923.41</v>
      </c>
      <c r="H42" s="56">
        <v>154.91999999999999</v>
      </c>
      <c r="I42" s="56"/>
      <c r="J42" s="56">
        <f>19.23+62.15+2.6+213.21</f>
        <v>297.19</v>
      </c>
      <c r="K42" s="56">
        <f>H42+I42+J42</f>
        <v>452.11</v>
      </c>
      <c r="L42" s="56">
        <f>G42-K42</f>
        <v>1471.3000000000002</v>
      </c>
      <c r="M42" s="5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 thickTop="1" x14ac:dyDescent="0.25">
      <c r="A43" s="8" t="s">
        <v>118</v>
      </c>
      <c r="B43" s="54"/>
      <c r="C43" s="54"/>
      <c r="D43" s="54"/>
      <c r="E43" s="66"/>
      <c r="F43" s="66"/>
      <c r="G43" s="66"/>
      <c r="H43" s="54"/>
      <c r="I43" s="54"/>
      <c r="J43" s="54"/>
      <c r="K43" s="54"/>
      <c r="L43" s="54"/>
      <c r="M43" s="5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 x14ac:dyDescent="0.25">
      <c r="A44" s="5" t="s">
        <v>119</v>
      </c>
      <c r="B44" s="54"/>
      <c r="C44" s="54"/>
      <c r="D44" s="54"/>
      <c r="E44" s="66"/>
      <c r="F44" s="66"/>
      <c r="G44" s="66"/>
      <c r="H44" s="54"/>
      <c r="I44" s="54"/>
      <c r="J44" s="54"/>
      <c r="K44" s="54"/>
      <c r="L44" s="54"/>
      <c r="M44" s="5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 customHeight="1" thickBot="1" x14ac:dyDescent="0.3">
      <c r="A45" s="51">
        <v>44341</v>
      </c>
      <c r="B45" s="56">
        <v>1797.58</v>
      </c>
      <c r="C45" s="56"/>
      <c r="D45" s="56"/>
      <c r="E45" s="69"/>
      <c r="F45" s="74"/>
      <c r="G45" s="69">
        <f>SUM(B45:F45)</f>
        <v>1797.58</v>
      </c>
      <c r="H45" s="56">
        <v>143.6</v>
      </c>
      <c r="I45" s="56"/>
      <c r="J45" s="56">
        <f>62.15+2.6+133.55</f>
        <v>198.3</v>
      </c>
      <c r="K45" s="56">
        <f>H45+I45+J45</f>
        <v>341.9</v>
      </c>
      <c r="L45" s="56">
        <f>G45-K45</f>
        <v>1455.6799999999998</v>
      </c>
      <c r="M45" s="5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.75" customHeight="1" thickTop="1" thickBot="1" x14ac:dyDescent="0.3">
      <c r="A46" s="28" t="s">
        <v>120</v>
      </c>
      <c r="B46" s="235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5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 customHeight="1" thickTop="1" x14ac:dyDescent="0.25">
      <c r="A47" s="8" t="s">
        <v>121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5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customHeight="1" x14ac:dyDescent="0.25">
      <c r="A48" s="53" t="s">
        <v>122</v>
      </c>
      <c r="B48" s="58"/>
      <c r="C48" s="58"/>
      <c r="D48" s="58"/>
      <c r="E48" s="71"/>
      <c r="F48" s="71"/>
      <c r="G48" s="73"/>
      <c r="H48" s="83"/>
      <c r="I48" s="83"/>
      <c r="J48" s="83"/>
      <c r="K48" s="83"/>
      <c r="L48" s="83"/>
      <c r="M48" s="5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thickBot="1" x14ac:dyDescent="0.3">
      <c r="A49" s="50">
        <v>38054</v>
      </c>
      <c r="B49" s="55">
        <v>2886.52</v>
      </c>
      <c r="C49" s="55"/>
      <c r="D49" s="55">
        <v>57.73</v>
      </c>
      <c r="E49" s="67">
        <v>1298.94</v>
      </c>
      <c r="F49" s="67"/>
      <c r="G49" s="69">
        <f>SUM(B49:F49)</f>
        <v>4243.1900000000005</v>
      </c>
      <c r="H49" s="56">
        <v>430.22</v>
      </c>
      <c r="I49" s="56">
        <v>221.79</v>
      </c>
      <c r="J49" s="56">
        <f>62.15+2.6+126.81</f>
        <v>191.56</v>
      </c>
      <c r="K49" s="56">
        <f>H49+I49+J49</f>
        <v>843.56999999999994</v>
      </c>
      <c r="L49" s="56">
        <f>G49-K49</f>
        <v>3399.6200000000008</v>
      </c>
      <c r="M49" s="5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thickTop="1" x14ac:dyDescent="0.25">
      <c r="A50" s="8" t="s">
        <v>123</v>
      </c>
      <c r="B50" s="58"/>
      <c r="C50" s="58"/>
      <c r="D50" s="58"/>
      <c r="E50" s="71"/>
      <c r="F50" s="71"/>
      <c r="G50" s="73"/>
      <c r="H50" s="83"/>
      <c r="I50" s="83"/>
      <c r="J50" s="83"/>
      <c r="K50" s="83"/>
      <c r="L50" s="83"/>
      <c r="M50" s="5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x14ac:dyDescent="0.25">
      <c r="A51" s="53" t="s">
        <v>108</v>
      </c>
      <c r="B51" s="58"/>
      <c r="C51" s="58"/>
      <c r="D51" s="58"/>
      <c r="E51" s="71"/>
      <c r="F51" s="71"/>
      <c r="G51" s="73"/>
      <c r="H51" s="83"/>
      <c r="I51" s="83"/>
      <c r="J51" s="83"/>
      <c r="K51" s="83"/>
      <c r="L51" s="83"/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thickBot="1" x14ac:dyDescent="0.3">
      <c r="A52" s="50">
        <v>44319</v>
      </c>
      <c r="B52" s="55">
        <v>1797.58</v>
      </c>
      <c r="C52" s="55"/>
      <c r="D52" s="55"/>
      <c r="E52" s="67"/>
      <c r="F52" s="67"/>
      <c r="G52" s="69">
        <f>SUM(B52:F52)</f>
        <v>1797.58</v>
      </c>
      <c r="H52" s="56">
        <v>137.71</v>
      </c>
      <c r="I52" s="56"/>
      <c r="J52" s="56">
        <f>65.46+62.15+2.6</f>
        <v>130.20999999999998</v>
      </c>
      <c r="K52" s="56">
        <f>H52+I52+J52</f>
        <v>267.91999999999996</v>
      </c>
      <c r="L52" s="56">
        <f>G52-K52</f>
        <v>1529.6599999999999</v>
      </c>
      <c r="M52" s="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thickTop="1" x14ac:dyDescent="0.25">
      <c r="A53" s="8" t="s">
        <v>124</v>
      </c>
      <c r="B53" s="58"/>
      <c r="C53" s="58"/>
      <c r="D53" s="58"/>
      <c r="E53" s="71"/>
      <c r="F53" s="71"/>
      <c r="G53" s="73"/>
      <c r="H53" s="83"/>
      <c r="I53" s="83"/>
      <c r="J53" s="83"/>
      <c r="K53" s="83"/>
      <c r="L53" s="83"/>
      <c r="M53" s="5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53" t="s">
        <v>116</v>
      </c>
      <c r="B54" s="58"/>
      <c r="C54" s="58"/>
      <c r="D54" s="58"/>
      <c r="E54" s="71"/>
      <c r="F54" s="71"/>
      <c r="G54" s="73"/>
      <c r="H54" s="83"/>
      <c r="I54" s="83"/>
      <c r="J54" s="83"/>
      <c r="K54" s="83"/>
      <c r="L54" s="83"/>
      <c r="M54" s="5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thickBot="1" x14ac:dyDescent="0.3">
      <c r="A55" s="50">
        <v>43845</v>
      </c>
      <c r="B55" s="55">
        <v>1923.41</v>
      </c>
      <c r="C55" s="55"/>
      <c r="D55" s="55"/>
      <c r="E55" s="67"/>
      <c r="F55" s="67"/>
      <c r="G55" s="69">
        <f>SUM(B55:F55)</f>
        <v>1923.41</v>
      </c>
      <c r="H55" s="56">
        <v>154.91999999999999</v>
      </c>
      <c r="I55" s="56"/>
      <c r="J55" s="56">
        <f>19.23+62.15+2.21+142.87</f>
        <v>226.45999999999998</v>
      </c>
      <c r="K55" s="56">
        <f>H55+I55+J55</f>
        <v>381.38</v>
      </c>
      <c r="L55" s="56">
        <f>G55-K55</f>
        <v>1542.0300000000002</v>
      </c>
      <c r="M55" s="5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" customHeight="1" thickTop="1" x14ac:dyDescent="0.2"/>
    <row r="59" spans="1:32" ht="15.75" customHeight="1" x14ac:dyDescent="0.25">
      <c r="A59" s="82"/>
      <c r="B59" s="58"/>
      <c r="C59" s="58"/>
      <c r="D59" s="58"/>
      <c r="E59" s="71"/>
      <c r="F59" s="71"/>
      <c r="G59" s="73"/>
      <c r="H59" s="83"/>
      <c r="I59" s="83"/>
      <c r="J59" s="83"/>
      <c r="K59" s="83"/>
      <c r="L59" s="83"/>
      <c r="M59" s="5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customHeight="1" x14ac:dyDescent="0.25">
      <c r="A60" s="82"/>
      <c r="B60" s="58"/>
      <c r="C60" s="58"/>
      <c r="D60" s="58"/>
      <c r="E60" s="71"/>
      <c r="F60" s="71"/>
      <c r="G60" s="73"/>
      <c r="H60" s="83"/>
      <c r="I60" s="83"/>
      <c r="J60" s="83"/>
      <c r="K60" s="83"/>
      <c r="L60" s="83"/>
      <c r="M60" s="5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 customHeight="1" x14ac:dyDescent="0.25">
      <c r="A61" s="82"/>
      <c r="B61" s="58"/>
      <c r="C61" s="58"/>
      <c r="D61" s="58"/>
      <c r="E61" s="71"/>
      <c r="F61" s="71"/>
      <c r="G61" s="73"/>
      <c r="H61" s="83"/>
      <c r="I61" s="83"/>
      <c r="J61" s="83"/>
      <c r="K61" s="83"/>
      <c r="L61" s="83"/>
      <c r="M61" s="5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 customHeight="1" x14ac:dyDescent="0.25">
      <c r="A62" s="82"/>
      <c r="B62" s="58"/>
      <c r="C62" s="58"/>
      <c r="D62" s="58"/>
      <c r="E62" s="71"/>
      <c r="F62" s="71"/>
      <c r="G62" s="73"/>
      <c r="H62" s="83"/>
      <c r="I62" s="83"/>
      <c r="J62" s="83"/>
      <c r="K62" s="83"/>
      <c r="L62" s="83"/>
      <c r="M62" s="5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M63" s="5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25">
      <c r="A64" s="238" t="s">
        <v>90</v>
      </c>
      <c r="B64" s="229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thickBot="1" x14ac:dyDescent="0.3">
      <c r="A65" s="88" t="s">
        <v>1</v>
      </c>
      <c r="B65" s="89">
        <v>2022</v>
      </c>
      <c r="C65" s="90"/>
      <c r="D65" s="90"/>
      <c r="E65" s="65"/>
      <c r="F65" s="65"/>
      <c r="G65" s="65"/>
      <c r="H65" s="90"/>
      <c r="I65" s="90"/>
      <c r="J65" s="90"/>
      <c r="K65" s="90"/>
      <c r="L65" s="90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A66" s="91" t="s">
        <v>2</v>
      </c>
      <c r="B66" s="231" t="s">
        <v>3</v>
      </c>
      <c r="C66" s="231" t="s">
        <v>92</v>
      </c>
      <c r="D66" s="228" t="s">
        <v>93</v>
      </c>
      <c r="E66" s="241" t="s">
        <v>8</v>
      </c>
      <c r="F66" s="244" t="s">
        <v>94</v>
      </c>
      <c r="G66" s="244" t="s">
        <v>9</v>
      </c>
      <c r="H66" s="231" t="s">
        <v>11</v>
      </c>
      <c r="I66" s="231" t="s">
        <v>95</v>
      </c>
      <c r="J66" s="228" t="s">
        <v>12</v>
      </c>
      <c r="K66" s="228" t="s">
        <v>13</v>
      </c>
      <c r="L66" s="228" t="s">
        <v>14</v>
      </c>
      <c r="M66" s="5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25">
      <c r="A67" s="90" t="s">
        <v>15</v>
      </c>
      <c r="B67" s="229"/>
      <c r="C67" s="229"/>
      <c r="D67" s="229"/>
      <c r="E67" s="242"/>
      <c r="F67" s="229"/>
      <c r="G67" s="229"/>
      <c r="H67" s="229"/>
      <c r="I67" s="229"/>
      <c r="J67" s="229"/>
      <c r="K67" s="229"/>
      <c r="L67" s="229"/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x14ac:dyDescent="0.25">
      <c r="A68" s="92" t="s">
        <v>16</v>
      </c>
      <c r="B68" s="237"/>
      <c r="C68" s="237"/>
      <c r="D68" s="237"/>
      <c r="E68" s="243"/>
      <c r="F68" s="237"/>
      <c r="G68" s="237"/>
      <c r="H68" s="237"/>
      <c r="I68" s="237"/>
      <c r="J68" s="237"/>
      <c r="K68" s="237"/>
      <c r="L68" s="237"/>
      <c r="M68" s="5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2" t="s">
        <v>120</v>
      </c>
      <c r="B69" s="235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25">
      <c r="A70" s="8" t="s">
        <v>125</v>
      </c>
      <c r="B70" s="58"/>
      <c r="C70" s="58"/>
      <c r="D70" s="58"/>
      <c r="E70" s="71"/>
      <c r="F70" s="71"/>
      <c r="G70" s="73"/>
      <c r="H70" s="83"/>
      <c r="I70" s="83"/>
      <c r="J70" s="83"/>
      <c r="K70" s="83"/>
      <c r="L70" s="83"/>
      <c r="M70" s="5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25">
      <c r="A71" s="53" t="s">
        <v>126</v>
      </c>
      <c r="B71" s="58"/>
      <c r="C71" s="58"/>
      <c r="D71" s="58"/>
      <c r="E71" s="71"/>
      <c r="F71" s="71"/>
      <c r="G71" s="73"/>
      <c r="H71" s="83"/>
      <c r="I71" s="83"/>
      <c r="J71" s="83"/>
      <c r="K71" s="83"/>
      <c r="L71" s="83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thickBot="1" x14ac:dyDescent="0.3">
      <c r="A72" s="50">
        <v>39783</v>
      </c>
      <c r="B72" s="55">
        <v>2886.52</v>
      </c>
      <c r="C72" s="55"/>
      <c r="D72" s="55">
        <v>57.73</v>
      </c>
      <c r="E72" s="67">
        <v>1298.93</v>
      </c>
      <c r="F72" s="67"/>
      <c r="G72" s="69">
        <f>SUM(B72:F72)</f>
        <v>4243.18</v>
      </c>
      <c r="H72" s="56">
        <v>430.22</v>
      </c>
      <c r="I72" s="56">
        <v>221.79</v>
      </c>
      <c r="J72" s="56">
        <f>62.15+2.47+516.44+80.13</f>
        <v>661.19</v>
      </c>
      <c r="K72" s="56">
        <f>H72+I72+J72</f>
        <v>1313.2</v>
      </c>
      <c r="L72" s="56">
        <f>G72-K72</f>
        <v>2929.9800000000005</v>
      </c>
      <c r="M72" s="5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thickTop="1" x14ac:dyDescent="0.25">
      <c r="A73" s="3" t="s">
        <v>127</v>
      </c>
      <c r="B73" s="57"/>
      <c r="C73" s="60"/>
      <c r="D73" s="60"/>
      <c r="E73" s="76"/>
      <c r="F73" s="77"/>
      <c r="G73" s="78"/>
      <c r="H73" s="61"/>
      <c r="I73" s="61"/>
      <c r="J73" s="61"/>
      <c r="K73" s="61"/>
      <c r="L73" s="61"/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25">
      <c r="A74" s="5" t="s">
        <v>116</v>
      </c>
      <c r="B74" s="57"/>
      <c r="C74" s="60"/>
      <c r="D74" s="60"/>
      <c r="E74" s="76"/>
      <c r="F74" s="77"/>
      <c r="G74" s="78"/>
      <c r="H74" s="61"/>
      <c r="I74" s="61"/>
      <c r="J74" s="61"/>
      <c r="K74" s="61"/>
      <c r="L74" s="61"/>
      <c r="M74" s="5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thickBot="1" x14ac:dyDescent="0.3">
      <c r="A75" s="50">
        <v>43325</v>
      </c>
      <c r="B75" s="55">
        <v>1365</v>
      </c>
      <c r="C75" s="55">
        <f>934.55+311.52</f>
        <v>1246.07</v>
      </c>
      <c r="D75" s="55"/>
      <c r="E75" s="67">
        <v>614.25</v>
      </c>
      <c r="F75" s="67"/>
      <c r="G75" s="69">
        <f>SUM(B75:F75)</f>
        <v>3225.3199999999997</v>
      </c>
      <c r="H75" s="56">
        <f>196.98+93.44</f>
        <v>290.41999999999996</v>
      </c>
      <c r="I75" s="56"/>
      <c r="J75" s="56">
        <f>62.15+2.6+66.85+26.71</f>
        <v>158.31</v>
      </c>
      <c r="K75" s="56">
        <f>H75+I75+J75</f>
        <v>448.72999999999996</v>
      </c>
      <c r="L75" s="56">
        <f>G75-K75</f>
        <v>2776.5899999999997</v>
      </c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thickTop="1" x14ac:dyDescent="0.25">
      <c r="A76" s="3" t="s">
        <v>155</v>
      </c>
      <c r="B76" s="57"/>
      <c r="C76" s="60"/>
      <c r="D76" s="60"/>
      <c r="E76" s="76"/>
      <c r="F76" s="77"/>
      <c r="G76" s="78"/>
      <c r="H76" s="61"/>
      <c r="I76" s="61"/>
      <c r="J76" s="61"/>
      <c r="K76" s="61"/>
      <c r="L76" s="61"/>
      <c r="M76" s="5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25">
      <c r="A77" s="5" t="s">
        <v>156</v>
      </c>
      <c r="B77" s="57"/>
      <c r="C77" s="60"/>
      <c r="D77" s="60"/>
      <c r="E77" s="76"/>
      <c r="F77" s="77"/>
      <c r="G77" s="78"/>
      <c r="H77" s="61"/>
      <c r="I77" s="61"/>
      <c r="J77" s="61"/>
      <c r="K77" s="61"/>
      <c r="L77" s="61"/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thickBot="1" x14ac:dyDescent="0.3">
      <c r="A78" s="50">
        <v>44686</v>
      </c>
      <c r="B78" s="55">
        <v>1565.63</v>
      </c>
      <c r="C78" s="55"/>
      <c r="D78" s="55"/>
      <c r="E78" s="67"/>
      <c r="F78" s="67"/>
      <c r="G78" s="69">
        <f>SUM(B78:F78)</f>
        <v>1565.63</v>
      </c>
      <c r="H78" s="56">
        <v>122.72</v>
      </c>
      <c r="I78" s="56"/>
      <c r="J78" s="56">
        <v>2.4700000000000002</v>
      </c>
      <c r="K78" s="56">
        <f>H78+I78+J78</f>
        <v>125.19</v>
      </c>
      <c r="L78" s="56">
        <f>G78-K78</f>
        <v>1440.44</v>
      </c>
      <c r="M78" s="5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thickTop="1" x14ac:dyDescent="0.25">
      <c r="A79" s="8" t="s">
        <v>128</v>
      </c>
      <c r="B79" s="57"/>
      <c r="C79" s="57"/>
      <c r="D79" s="57"/>
      <c r="E79" s="70"/>
      <c r="F79" s="70"/>
      <c r="G79" s="66"/>
      <c r="H79" s="54"/>
      <c r="I79" s="54"/>
      <c r="J79" s="54"/>
      <c r="K79" s="54"/>
      <c r="L79" s="54"/>
      <c r="M79" s="5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 x14ac:dyDescent="0.25">
      <c r="A80" s="10" t="s">
        <v>116</v>
      </c>
      <c r="B80" s="57"/>
      <c r="C80" s="57"/>
      <c r="D80" s="57"/>
      <c r="E80" s="70"/>
      <c r="F80" s="70"/>
      <c r="G80" s="66"/>
      <c r="H80" s="54"/>
      <c r="I80" s="54"/>
      <c r="J80" s="54"/>
      <c r="K80" s="54"/>
      <c r="L80" s="54"/>
      <c r="M80" s="5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thickBot="1" x14ac:dyDescent="0.3">
      <c r="A81" s="6">
        <v>43325</v>
      </c>
      <c r="B81" s="55">
        <v>1613.18</v>
      </c>
      <c r="C81" s="55">
        <f>464.82+154.94</f>
        <v>619.76</v>
      </c>
      <c r="D81" s="55"/>
      <c r="E81" s="67">
        <v>725.93</v>
      </c>
      <c r="F81" s="68"/>
      <c r="G81" s="69">
        <f>SUM(B81:F81)</f>
        <v>2958.87</v>
      </c>
      <c r="H81" s="56">
        <f>217.58+46.48</f>
        <v>264.06</v>
      </c>
      <c r="I81" s="56">
        <v>16.309999999999999</v>
      </c>
      <c r="J81" s="56">
        <f>19.23+62.15+1.82+204.23</f>
        <v>287.42999999999995</v>
      </c>
      <c r="K81" s="56">
        <f>H81+I81+J81</f>
        <v>567.79999999999995</v>
      </c>
      <c r="L81" s="56">
        <f>G81-K81</f>
        <v>2391.0699999999997</v>
      </c>
      <c r="M81" s="5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thickTop="1" x14ac:dyDescent="0.25">
      <c r="A82" s="28" t="s">
        <v>129</v>
      </c>
      <c r="B82" s="235"/>
      <c r="C82" s="236"/>
      <c r="D82" s="236"/>
      <c r="E82" s="236"/>
      <c r="F82" s="236"/>
      <c r="G82" s="236"/>
      <c r="H82" s="236"/>
      <c r="I82" s="236"/>
      <c r="J82" s="236"/>
      <c r="K82" s="236"/>
      <c r="L82" s="236"/>
      <c r="M82" s="5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 x14ac:dyDescent="0.25">
      <c r="A83" s="3" t="s">
        <v>130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5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 x14ac:dyDescent="0.25">
      <c r="A84" s="5" t="s">
        <v>131</v>
      </c>
      <c r="B84" s="57"/>
      <c r="C84" s="60"/>
      <c r="D84" s="60"/>
      <c r="E84" s="76"/>
      <c r="F84" s="77"/>
      <c r="G84" s="78"/>
      <c r="H84" s="61"/>
      <c r="I84" s="61"/>
      <c r="J84" s="61"/>
      <c r="K84" s="61"/>
      <c r="L84" s="61"/>
      <c r="M84" s="5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 thickBot="1" x14ac:dyDescent="0.3">
      <c r="A85" s="50">
        <v>44509</v>
      </c>
      <c r="B85" s="55">
        <v>2663.52</v>
      </c>
      <c r="C85" s="55"/>
      <c r="D85" s="55"/>
      <c r="E85" s="67"/>
      <c r="F85" s="67"/>
      <c r="G85" s="69">
        <f>SUM(B85:F85)</f>
        <v>2663.52</v>
      </c>
      <c r="H85" s="56">
        <v>228.62</v>
      </c>
      <c r="I85" s="56">
        <v>39.82</v>
      </c>
      <c r="J85" s="56">
        <f>26.64+62.15+2.08</f>
        <v>90.86999999999999</v>
      </c>
      <c r="K85" s="56">
        <f>H85+I85+J85</f>
        <v>359.31</v>
      </c>
      <c r="L85" s="56">
        <f>G85-K85</f>
        <v>2304.21</v>
      </c>
      <c r="M85" s="5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thickTop="1" x14ac:dyDescent="0.25">
      <c r="A86" s="8" t="s">
        <v>132</v>
      </c>
      <c r="B86" s="12"/>
      <c r="C86" s="12"/>
      <c r="D86" s="12"/>
      <c r="E86" s="12"/>
      <c r="F86" s="12"/>
      <c r="G86" s="23"/>
      <c r="H86" s="23"/>
      <c r="I86" s="23"/>
      <c r="J86" s="23"/>
      <c r="K86" s="23"/>
      <c r="L86" s="23"/>
      <c r="M86" s="5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x14ac:dyDescent="0.25">
      <c r="A87" s="5" t="s">
        <v>133</v>
      </c>
      <c r="B87" s="57"/>
      <c r="C87" s="57"/>
      <c r="D87" s="57"/>
      <c r="E87" s="70"/>
      <c r="F87" s="70"/>
      <c r="G87" s="66"/>
      <c r="H87" s="54"/>
      <c r="I87" s="54"/>
      <c r="J87" s="54"/>
      <c r="K87" s="54"/>
      <c r="L87" s="54"/>
      <c r="M87" s="52"/>
      <c r="N87" s="1"/>
      <c r="O87" s="1"/>
      <c r="P87" s="34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6.5" customHeight="1" thickBot="1" x14ac:dyDescent="0.3">
      <c r="A88" s="6">
        <v>43325</v>
      </c>
      <c r="B88" s="55">
        <v>2849.96</v>
      </c>
      <c r="C88" s="55"/>
      <c r="D88" s="55"/>
      <c r="E88" s="67">
        <f>B88*45%</f>
        <v>1282.482</v>
      </c>
      <c r="F88" s="68"/>
      <c r="G88" s="69">
        <f>SUM(B88:F88)</f>
        <v>4132.442</v>
      </c>
      <c r="H88" s="56">
        <v>414.71</v>
      </c>
      <c r="I88" s="56">
        <v>145.97999999999999</v>
      </c>
      <c r="J88" s="56">
        <f>28.5+62.15+2.6+26.71</f>
        <v>119.96000000000001</v>
      </c>
      <c r="K88" s="56">
        <f>H88+I88+J88</f>
        <v>680.65</v>
      </c>
      <c r="L88" s="56">
        <f>G88-K88</f>
        <v>3451.7919999999999</v>
      </c>
      <c r="M88" s="5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thickTop="1" x14ac:dyDescent="0.25">
      <c r="A89" s="28" t="s">
        <v>134</v>
      </c>
      <c r="B89" s="235"/>
      <c r="C89" s="236"/>
      <c r="D89" s="236"/>
      <c r="E89" s="236"/>
      <c r="F89" s="236"/>
      <c r="G89" s="236"/>
      <c r="H89" s="236"/>
      <c r="I89" s="236"/>
      <c r="J89" s="236"/>
      <c r="K89" s="236"/>
      <c r="L89" s="236"/>
      <c r="M89" s="5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x14ac:dyDescent="0.25">
      <c r="A90" s="8" t="s">
        <v>135</v>
      </c>
      <c r="B90" s="12"/>
      <c r="C90" s="12"/>
      <c r="D90" s="12"/>
      <c r="E90" s="12"/>
      <c r="F90" s="12"/>
      <c r="G90" s="23"/>
      <c r="H90" s="23"/>
      <c r="I90" s="23"/>
      <c r="J90" s="23"/>
      <c r="K90" s="23"/>
      <c r="L90" s="23"/>
      <c r="M90" s="5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x14ac:dyDescent="0.25">
      <c r="A91" s="5" t="s">
        <v>136</v>
      </c>
      <c r="B91" s="57"/>
      <c r="C91" s="57"/>
      <c r="D91" s="57"/>
      <c r="E91" s="70"/>
      <c r="F91" s="70"/>
      <c r="G91" s="66"/>
      <c r="H91" s="54"/>
      <c r="I91" s="54"/>
      <c r="J91" s="54"/>
      <c r="K91" s="54"/>
      <c r="L91" s="54"/>
      <c r="M91" s="52"/>
      <c r="N91" s="1"/>
      <c r="O91" s="1"/>
      <c r="P91" s="34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6.5" customHeight="1" thickBot="1" x14ac:dyDescent="0.3">
      <c r="A92" s="6">
        <v>43675</v>
      </c>
      <c r="B92" s="55">
        <v>2849.96</v>
      </c>
      <c r="C92" s="55"/>
      <c r="D92" s="55"/>
      <c r="E92" s="67"/>
      <c r="F92" s="68"/>
      <c r="G92" s="69">
        <f>SUM(B92:F92)</f>
        <v>2849.96</v>
      </c>
      <c r="H92" s="56">
        <v>250.99</v>
      </c>
      <c r="I92" s="56">
        <v>52.12</v>
      </c>
      <c r="J92" s="56">
        <f>62.15+2.34+90.21</f>
        <v>154.69999999999999</v>
      </c>
      <c r="K92" s="56">
        <f>H92+I92+J92</f>
        <v>457.81</v>
      </c>
      <c r="L92" s="56">
        <f>G92-K92</f>
        <v>2392.15</v>
      </c>
      <c r="M92" s="5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thickTop="1" x14ac:dyDescent="0.25">
      <c r="A93" s="28" t="s">
        <v>137</v>
      </c>
      <c r="B93" s="235"/>
      <c r="C93" s="236"/>
      <c r="D93" s="236"/>
      <c r="E93" s="236"/>
      <c r="F93" s="236"/>
      <c r="G93" s="236"/>
      <c r="H93" s="236"/>
      <c r="I93" s="236"/>
      <c r="J93" s="236"/>
      <c r="K93" s="236"/>
      <c r="L93" s="236"/>
      <c r="M93" s="5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 x14ac:dyDescent="0.25">
      <c r="A94" s="8" t="s">
        <v>138</v>
      </c>
      <c r="B94" s="12"/>
      <c r="C94" s="12"/>
      <c r="D94" s="12"/>
      <c r="E94" s="12"/>
      <c r="F94" s="12"/>
      <c r="G94" s="23"/>
      <c r="H94" s="23"/>
      <c r="I94" s="23"/>
      <c r="J94" s="23"/>
      <c r="K94" s="23"/>
      <c r="L94" s="23"/>
      <c r="M94" s="5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x14ac:dyDescent="0.25">
      <c r="A95" s="5" t="s">
        <v>131</v>
      </c>
      <c r="B95" s="57"/>
      <c r="C95" s="57"/>
      <c r="D95" s="57"/>
      <c r="E95" s="70"/>
      <c r="F95" s="70"/>
      <c r="G95" s="66"/>
      <c r="H95" s="54"/>
      <c r="I95" s="54"/>
      <c r="J95" s="54"/>
      <c r="K95" s="54"/>
      <c r="L95" s="54"/>
      <c r="M95" s="52"/>
      <c r="N95" s="1"/>
      <c r="O95" s="1"/>
      <c r="P95" s="34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6.5" customHeight="1" thickBot="1" x14ac:dyDescent="0.3">
      <c r="A96" s="6">
        <v>44516</v>
      </c>
      <c r="B96" s="55">
        <v>2663.52</v>
      </c>
      <c r="C96" s="55"/>
      <c r="D96" s="55"/>
      <c r="E96" s="67"/>
      <c r="F96" s="68"/>
      <c r="G96" s="69">
        <f>SUM(B96:F96)</f>
        <v>2663.52</v>
      </c>
      <c r="H96" s="56">
        <v>228.62</v>
      </c>
      <c r="I96" s="56">
        <v>25.6</v>
      </c>
      <c r="J96" s="56">
        <f>62.15+2.34</f>
        <v>64.489999999999995</v>
      </c>
      <c r="K96" s="56">
        <f>H96+I96+J96</f>
        <v>318.70999999999998</v>
      </c>
      <c r="L96" s="56">
        <f>G96-K96</f>
        <v>2344.81</v>
      </c>
      <c r="M96" s="5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thickTop="1" x14ac:dyDescent="0.25">
      <c r="A97" s="28" t="s">
        <v>139</v>
      </c>
      <c r="B97" s="235"/>
      <c r="C97" s="236"/>
      <c r="D97" s="236"/>
      <c r="E97" s="236"/>
      <c r="F97" s="236"/>
      <c r="G97" s="236"/>
      <c r="H97" s="236"/>
      <c r="I97" s="236"/>
      <c r="J97" s="236"/>
      <c r="K97" s="236"/>
      <c r="L97" s="236"/>
      <c r="M97" s="5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x14ac:dyDescent="0.25">
      <c r="A98" s="8" t="s">
        <v>140</v>
      </c>
      <c r="B98" s="57"/>
      <c r="C98" s="57"/>
      <c r="D98" s="57"/>
      <c r="E98" s="70"/>
      <c r="F98" s="79"/>
      <c r="G98" s="66"/>
      <c r="H98" s="54"/>
      <c r="I98" s="54"/>
      <c r="J98" s="54"/>
      <c r="K98" s="54"/>
      <c r="L98" s="54"/>
      <c r="M98" s="5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25">
      <c r="A99" s="10" t="s">
        <v>131</v>
      </c>
      <c r="B99" s="57"/>
      <c r="C99" s="57"/>
      <c r="D99" s="57"/>
      <c r="E99" s="70"/>
      <c r="F99" s="79"/>
      <c r="G99" s="66"/>
      <c r="H99" s="54"/>
      <c r="I99" s="54"/>
      <c r="J99" s="54"/>
      <c r="K99" s="54"/>
      <c r="L99" s="54"/>
      <c r="M99" s="5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thickBot="1" x14ac:dyDescent="0.3">
      <c r="A100" s="6">
        <v>44249</v>
      </c>
      <c r="B100" s="55">
        <v>2663.52</v>
      </c>
      <c r="C100" s="55"/>
      <c r="D100" s="55"/>
      <c r="E100" s="67"/>
      <c r="F100" s="68"/>
      <c r="G100" s="69">
        <f>SUM(B100:F100)</f>
        <v>2663.52</v>
      </c>
      <c r="H100" s="56">
        <v>228.62</v>
      </c>
      <c r="I100" s="56">
        <v>11.38</v>
      </c>
      <c r="J100" s="56">
        <f>62.15+1.82+110.58+26.71</f>
        <v>201.26000000000002</v>
      </c>
      <c r="K100" s="56">
        <f>H100+I100+J100</f>
        <v>441.26</v>
      </c>
      <c r="L100" s="56">
        <f>G100-K100</f>
        <v>2222.2600000000002</v>
      </c>
      <c r="M100" s="5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thickTop="1" x14ac:dyDescent="0.25">
      <c r="A101" s="28" t="s">
        <v>141</v>
      </c>
      <c r="B101" s="235"/>
      <c r="C101" s="236"/>
      <c r="D101" s="236"/>
      <c r="E101" s="236"/>
      <c r="F101" s="236"/>
      <c r="G101" s="236"/>
      <c r="H101" s="236"/>
      <c r="I101" s="236"/>
      <c r="J101" s="236"/>
      <c r="K101" s="236"/>
      <c r="L101" s="236"/>
      <c r="M101" s="5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x14ac:dyDescent="0.25">
      <c r="A102" s="8" t="s">
        <v>142</v>
      </c>
      <c r="B102" s="57"/>
      <c r="C102" s="57"/>
      <c r="D102" s="57"/>
      <c r="E102" s="70"/>
      <c r="F102" s="79"/>
      <c r="G102" s="66"/>
      <c r="H102" s="54"/>
      <c r="I102" s="54"/>
      <c r="J102" s="54"/>
      <c r="K102" s="54"/>
      <c r="L102" s="54"/>
      <c r="M102" s="5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 x14ac:dyDescent="0.25">
      <c r="A103" s="10" t="s">
        <v>131</v>
      </c>
      <c r="B103" s="57"/>
      <c r="C103" s="57"/>
      <c r="D103" s="57"/>
      <c r="E103" s="70"/>
      <c r="F103" s="79"/>
      <c r="G103" s="66"/>
      <c r="H103" s="54"/>
      <c r="I103" s="54"/>
      <c r="J103" s="54"/>
      <c r="K103" s="54"/>
      <c r="L103" s="54"/>
      <c r="M103" s="5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 thickBot="1" x14ac:dyDescent="0.3">
      <c r="A104" s="6">
        <v>44249</v>
      </c>
      <c r="B104" s="55">
        <v>2663.52</v>
      </c>
      <c r="C104" s="55"/>
      <c r="D104" s="55"/>
      <c r="E104" s="67"/>
      <c r="F104" s="68"/>
      <c r="G104" s="69">
        <f>SUM(B104:F104)</f>
        <v>2663.52</v>
      </c>
      <c r="H104" s="56">
        <v>228.62</v>
      </c>
      <c r="I104" s="56">
        <v>39.82</v>
      </c>
      <c r="J104" s="56">
        <f>62.15+2.73</f>
        <v>64.88</v>
      </c>
      <c r="K104" s="56">
        <f>H104+I104+J104</f>
        <v>333.32</v>
      </c>
      <c r="L104" s="56">
        <f>G104-K104</f>
        <v>2330.1999999999998</v>
      </c>
      <c r="M104" s="5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 thickTop="1" x14ac:dyDescent="0.25">
      <c r="A105" s="28" t="s">
        <v>147</v>
      </c>
      <c r="B105" s="235"/>
      <c r="C105" s="236"/>
      <c r="D105" s="236"/>
      <c r="E105" s="236"/>
      <c r="F105" s="236"/>
      <c r="G105" s="236"/>
      <c r="H105" s="236"/>
      <c r="I105" s="236"/>
      <c r="J105" s="236"/>
      <c r="K105" s="236"/>
      <c r="L105" s="236"/>
      <c r="M105" s="5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" customHeight="1" x14ac:dyDescent="0.2">
      <c r="B106" s="63"/>
      <c r="C106" s="63"/>
      <c r="D106" s="63"/>
      <c r="E106" s="81"/>
      <c r="F106" s="81"/>
      <c r="G106" s="81"/>
      <c r="H106" s="63"/>
      <c r="I106" s="63"/>
      <c r="J106" s="63"/>
      <c r="K106" s="63"/>
      <c r="L106" s="63"/>
    </row>
    <row r="107" spans="1:32" ht="15" customHeight="1" x14ac:dyDescent="0.2">
      <c r="B107" s="63"/>
      <c r="C107" s="63"/>
      <c r="D107" s="63"/>
      <c r="E107" s="81"/>
      <c r="F107" s="81"/>
      <c r="G107" s="81"/>
      <c r="H107" s="63"/>
      <c r="I107" s="63"/>
      <c r="J107" s="63"/>
      <c r="K107" s="63"/>
      <c r="L107" s="63"/>
    </row>
    <row r="108" spans="1:32" ht="15" customHeight="1" x14ac:dyDescent="0.2">
      <c r="B108" s="63"/>
      <c r="C108" s="63"/>
      <c r="D108" s="63"/>
      <c r="E108" s="81"/>
      <c r="F108" s="81"/>
      <c r="G108" s="81"/>
      <c r="H108" s="63"/>
      <c r="I108" s="63"/>
      <c r="J108" s="63"/>
      <c r="K108" s="63"/>
      <c r="L108" s="63"/>
    </row>
    <row r="109" spans="1:32" ht="15" customHeight="1" x14ac:dyDescent="0.2">
      <c r="B109" s="63"/>
      <c r="C109" s="63"/>
      <c r="D109" s="63"/>
      <c r="E109" s="81"/>
      <c r="F109" s="81"/>
      <c r="G109" s="81"/>
      <c r="H109" s="63"/>
      <c r="I109" s="63"/>
      <c r="J109" s="63"/>
      <c r="K109" s="63"/>
      <c r="L109" s="63"/>
    </row>
    <row r="110" spans="1:32" ht="15" customHeight="1" x14ac:dyDescent="0.2">
      <c r="B110" s="63"/>
      <c r="C110" s="63"/>
      <c r="D110" s="63"/>
      <c r="E110" s="81"/>
      <c r="F110" s="81"/>
      <c r="G110" s="81"/>
      <c r="H110" s="63"/>
      <c r="I110" s="63"/>
      <c r="J110" s="63"/>
      <c r="K110" s="63"/>
      <c r="L110" s="63"/>
    </row>
    <row r="111" spans="1:32" ht="15" customHeight="1" x14ac:dyDescent="0.2">
      <c r="B111" s="63"/>
      <c r="C111" s="63"/>
      <c r="D111" s="63"/>
      <c r="E111" s="81"/>
      <c r="F111" s="81"/>
      <c r="G111" s="81"/>
      <c r="H111" s="63"/>
      <c r="I111" s="63"/>
      <c r="J111" s="63"/>
      <c r="K111" s="63"/>
      <c r="L111" s="63"/>
    </row>
    <row r="112" spans="1:32" ht="15" customHeight="1" x14ac:dyDescent="0.2">
      <c r="B112" s="63"/>
      <c r="C112" s="63"/>
      <c r="D112" s="63"/>
      <c r="E112" s="81"/>
      <c r="F112" s="81"/>
      <c r="G112" s="81"/>
      <c r="H112" s="63"/>
      <c r="I112" s="63"/>
      <c r="J112" s="63"/>
      <c r="K112" s="63"/>
      <c r="L112" s="63"/>
    </row>
    <row r="113" spans="1:32" ht="15" customHeight="1" x14ac:dyDescent="0.2">
      <c r="B113" s="63"/>
      <c r="C113" s="63"/>
      <c r="D113" s="63"/>
      <c r="E113" s="81"/>
      <c r="F113" s="81"/>
      <c r="G113" s="81"/>
      <c r="H113" s="63"/>
      <c r="I113" s="63"/>
      <c r="J113" s="63"/>
      <c r="K113" s="63"/>
      <c r="L113" s="63"/>
    </row>
    <row r="114" spans="1:32" ht="15" customHeight="1" x14ac:dyDescent="0.2">
      <c r="B114" s="63"/>
      <c r="C114" s="63"/>
      <c r="D114" s="63"/>
      <c r="E114" s="81"/>
      <c r="F114" s="81"/>
      <c r="G114" s="81"/>
      <c r="H114" s="63"/>
      <c r="I114" s="63"/>
      <c r="J114" s="63"/>
      <c r="K114" s="63"/>
      <c r="L114" s="63"/>
    </row>
    <row r="115" spans="1:32" ht="15.75" customHeight="1" x14ac:dyDescent="0.25">
      <c r="A115" s="1"/>
      <c r="B115" s="60"/>
      <c r="C115" s="60"/>
      <c r="D115" s="60"/>
      <c r="E115" s="76"/>
      <c r="F115" s="76"/>
      <c r="G115" s="76"/>
      <c r="H115" s="60"/>
      <c r="I115" s="60"/>
      <c r="J115" s="60"/>
      <c r="K115" s="60"/>
      <c r="L115" s="6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 x14ac:dyDescent="0.25">
      <c r="A116" s="1"/>
      <c r="B116" s="60"/>
      <c r="C116" s="60"/>
      <c r="D116" s="60"/>
      <c r="E116" s="76"/>
      <c r="F116" s="76"/>
      <c r="G116" s="76"/>
      <c r="H116" s="60"/>
      <c r="I116" s="60"/>
      <c r="J116" s="60"/>
      <c r="K116" s="60"/>
      <c r="L116" s="60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 x14ac:dyDescent="0.25">
      <c r="A117" s="1"/>
      <c r="B117" s="60"/>
      <c r="C117" s="60"/>
      <c r="D117" s="60"/>
      <c r="E117" s="76"/>
      <c r="F117" s="76"/>
      <c r="G117" s="76"/>
      <c r="H117" s="60"/>
      <c r="I117" s="60"/>
      <c r="J117" s="60"/>
      <c r="K117" s="60"/>
      <c r="L117" s="60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 x14ac:dyDescent="0.25">
      <c r="A118" s="1"/>
      <c r="B118" s="60"/>
      <c r="C118" s="60"/>
      <c r="D118" s="60"/>
      <c r="E118" s="76"/>
      <c r="F118" s="76"/>
      <c r="G118" s="76"/>
      <c r="H118" s="60"/>
      <c r="I118" s="60"/>
      <c r="J118" s="60"/>
      <c r="K118" s="60"/>
      <c r="L118" s="6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 x14ac:dyDescent="0.25">
      <c r="A119" s="1"/>
      <c r="B119" s="60"/>
      <c r="C119" s="60"/>
      <c r="D119" s="60"/>
      <c r="E119" s="76"/>
      <c r="F119" s="76"/>
      <c r="G119" s="76"/>
      <c r="H119" s="60"/>
      <c r="I119" s="60"/>
      <c r="J119" s="60"/>
      <c r="K119" s="60"/>
      <c r="L119" s="60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 x14ac:dyDescent="0.25">
      <c r="A120" s="1"/>
      <c r="B120" s="60"/>
      <c r="C120" s="60"/>
      <c r="D120" s="60"/>
      <c r="E120" s="76"/>
      <c r="F120" s="76"/>
      <c r="G120" s="76"/>
      <c r="H120" s="60"/>
      <c r="I120" s="60"/>
      <c r="J120" s="60"/>
      <c r="K120" s="60"/>
      <c r="L120" s="6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 x14ac:dyDescent="0.25">
      <c r="A121" s="1"/>
      <c r="B121" s="60"/>
      <c r="C121" s="60"/>
      <c r="D121" s="60"/>
      <c r="E121" s="76"/>
      <c r="F121" s="76"/>
      <c r="G121" s="76"/>
      <c r="H121" s="60"/>
      <c r="I121" s="60"/>
      <c r="J121" s="60"/>
      <c r="K121" s="60"/>
      <c r="L121" s="64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60"/>
      <c r="C122" s="60"/>
      <c r="D122" s="60"/>
      <c r="E122" s="76"/>
      <c r="F122" s="76"/>
      <c r="G122" s="76"/>
      <c r="H122" s="60"/>
      <c r="I122" s="60"/>
      <c r="J122" s="60"/>
      <c r="K122" s="60"/>
      <c r="L122" s="6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60"/>
      <c r="C123" s="60"/>
      <c r="D123" s="60"/>
      <c r="E123" s="76"/>
      <c r="F123" s="76"/>
      <c r="G123" s="76"/>
      <c r="H123" s="60"/>
      <c r="I123" s="60"/>
      <c r="J123" s="60"/>
      <c r="K123" s="60"/>
      <c r="L123" s="6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60"/>
      <c r="C124" s="60"/>
      <c r="D124" s="60"/>
      <c r="E124" s="76"/>
      <c r="F124" s="76"/>
      <c r="G124" s="76"/>
      <c r="H124" s="60"/>
      <c r="I124" s="60"/>
      <c r="J124" s="60"/>
      <c r="K124" s="60"/>
      <c r="L124" s="6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60"/>
      <c r="C125" s="60"/>
      <c r="D125" s="60"/>
      <c r="E125" s="76"/>
      <c r="F125" s="76"/>
      <c r="G125" s="76"/>
      <c r="H125" s="60"/>
      <c r="I125" s="60"/>
      <c r="J125" s="60"/>
      <c r="K125" s="60"/>
      <c r="L125" s="6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60"/>
      <c r="C126" s="60"/>
      <c r="D126" s="60"/>
      <c r="E126" s="76"/>
      <c r="F126" s="76"/>
      <c r="G126" s="76"/>
      <c r="H126" s="60"/>
      <c r="I126" s="60"/>
      <c r="J126" s="60"/>
      <c r="K126" s="60"/>
      <c r="L126" s="6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60"/>
      <c r="C127" s="60"/>
      <c r="D127" s="60"/>
      <c r="E127" s="76"/>
      <c r="F127" s="76"/>
      <c r="G127" s="76"/>
      <c r="H127" s="60"/>
      <c r="I127" s="60"/>
      <c r="J127" s="60"/>
      <c r="K127" s="60"/>
      <c r="L127" s="60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60"/>
      <c r="C128" s="60"/>
      <c r="D128" s="60"/>
      <c r="E128" s="76"/>
      <c r="F128" s="76"/>
      <c r="G128" s="76"/>
      <c r="H128" s="60"/>
      <c r="I128" s="60"/>
      <c r="J128" s="60"/>
      <c r="K128" s="60"/>
      <c r="L128" s="6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60"/>
      <c r="C129" s="60"/>
      <c r="D129" s="60"/>
      <c r="E129" s="76"/>
      <c r="F129" s="76"/>
      <c r="G129" s="76"/>
      <c r="H129" s="60"/>
      <c r="I129" s="60"/>
      <c r="J129" s="60"/>
      <c r="K129" s="60"/>
      <c r="L129" s="6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60"/>
      <c r="C130" s="60"/>
      <c r="D130" s="60"/>
      <c r="E130" s="76"/>
      <c r="F130" s="76"/>
      <c r="G130" s="76"/>
      <c r="H130" s="60"/>
      <c r="I130" s="60"/>
      <c r="J130" s="60"/>
      <c r="K130" s="60"/>
      <c r="L130" s="6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60"/>
      <c r="C131" s="60"/>
      <c r="D131" s="60"/>
      <c r="E131" s="76"/>
      <c r="F131" s="76"/>
      <c r="G131" s="76"/>
      <c r="H131" s="60"/>
      <c r="I131" s="60"/>
      <c r="J131" s="60"/>
      <c r="K131" s="60"/>
      <c r="L131" s="6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60"/>
      <c r="C132" s="60"/>
      <c r="D132" s="60"/>
      <c r="E132" s="76"/>
      <c r="F132" s="76"/>
      <c r="G132" s="76"/>
      <c r="H132" s="60"/>
      <c r="I132" s="60"/>
      <c r="J132" s="60"/>
      <c r="K132" s="60"/>
      <c r="L132" s="6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60"/>
      <c r="C133" s="60"/>
      <c r="D133" s="60"/>
      <c r="E133" s="76"/>
      <c r="F133" s="76"/>
      <c r="G133" s="76"/>
      <c r="H133" s="60"/>
      <c r="I133" s="60"/>
      <c r="J133" s="60"/>
      <c r="K133" s="60"/>
      <c r="L133" s="6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60"/>
      <c r="C134" s="60"/>
      <c r="D134" s="60"/>
      <c r="E134" s="76"/>
      <c r="F134" s="76"/>
      <c r="G134" s="76"/>
      <c r="H134" s="60"/>
      <c r="I134" s="60"/>
      <c r="J134" s="60"/>
      <c r="K134" s="60"/>
      <c r="L134" s="60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60"/>
      <c r="C135" s="60"/>
      <c r="D135" s="60"/>
      <c r="E135" s="76"/>
      <c r="F135" s="76"/>
      <c r="G135" s="76"/>
      <c r="H135" s="60"/>
      <c r="I135" s="60"/>
      <c r="J135" s="60"/>
      <c r="K135" s="60"/>
      <c r="L135" s="6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60"/>
      <c r="C136" s="60"/>
      <c r="D136" s="60"/>
      <c r="E136" s="76"/>
      <c r="F136" s="76"/>
      <c r="G136" s="76"/>
      <c r="H136" s="60"/>
      <c r="I136" s="60"/>
      <c r="J136" s="60"/>
      <c r="K136" s="60"/>
      <c r="L136" s="6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60"/>
      <c r="C137" s="60"/>
      <c r="D137" s="60"/>
      <c r="E137" s="76"/>
      <c r="F137" s="76"/>
      <c r="G137" s="76"/>
      <c r="H137" s="60"/>
      <c r="I137" s="60"/>
      <c r="J137" s="60"/>
      <c r="K137" s="60"/>
      <c r="L137" s="6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60"/>
      <c r="C138" s="60"/>
      <c r="D138" s="60"/>
      <c r="E138" s="76"/>
      <c r="F138" s="76"/>
      <c r="G138" s="76"/>
      <c r="H138" s="60"/>
      <c r="I138" s="60"/>
      <c r="J138" s="60"/>
      <c r="K138" s="60"/>
      <c r="L138" s="60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25">
      <c r="A139" s="1"/>
      <c r="B139" s="60"/>
      <c r="C139" s="60"/>
      <c r="D139" s="60"/>
      <c r="E139" s="76"/>
      <c r="F139" s="76"/>
      <c r="G139" s="76"/>
      <c r="H139" s="60"/>
      <c r="I139" s="60"/>
      <c r="J139" s="60"/>
      <c r="K139" s="60"/>
      <c r="L139" s="60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25">
      <c r="A140" s="1"/>
      <c r="B140" s="60"/>
      <c r="C140" s="60"/>
      <c r="D140" s="60"/>
      <c r="E140" s="76"/>
      <c r="F140" s="76"/>
      <c r="G140" s="76"/>
      <c r="H140" s="60"/>
      <c r="I140" s="60"/>
      <c r="J140" s="60"/>
      <c r="K140" s="60"/>
      <c r="L140" s="60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25">
      <c r="A141" s="1"/>
      <c r="B141" s="60"/>
      <c r="C141" s="60"/>
      <c r="D141" s="60"/>
      <c r="E141" s="76"/>
      <c r="F141" s="76"/>
      <c r="G141" s="76"/>
      <c r="H141" s="60"/>
      <c r="I141" s="60"/>
      <c r="J141" s="60"/>
      <c r="K141" s="60"/>
      <c r="L141" s="6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25">
      <c r="A142" s="1"/>
      <c r="B142" s="60"/>
      <c r="C142" s="60"/>
      <c r="D142" s="60"/>
      <c r="E142" s="76"/>
      <c r="F142" s="76"/>
      <c r="G142" s="76"/>
      <c r="H142" s="60"/>
      <c r="I142" s="60"/>
      <c r="J142" s="60"/>
      <c r="K142" s="60"/>
      <c r="L142" s="6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25">
      <c r="A143" s="1"/>
      <c r="B143" s="60"/>
      <c r="C143" s="60"/>
      <c r="D143" s="60"/>
      <c r="E143" s="76"/>
      <c r="F143" s="76"/>
      <c r="G143" s="76"/>
      <c r="H143" s="60"/>
      <c r="I143" s="60"/>
      <c r="J143" s="60"/>
      <c r="K143" s="60"/>
      <c r="L143" s="60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25">
      <c r="A144" s="1"/>
      <c r="B144" s="60"/>
      <c r="C144" s="60"/>
      <c r="D144" s="60"/>
      <c r="E144" s="76"/>
      <c r="F144" s="76"/>
      <c r="G144" s="76"/>
      <c r="H144" s="60"/>
      <c r="I144" s="60"/>
      <c r="J144" s="60"/>
      <c r="K144" s="60"/>
      <c r="L144" s="60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25">
      <c r="A145" s="1"/>
      <c r="B145" s="60"/>
      <c r="C145" s="60"/>
      <c r="D145" s="60"/>
      <c r="E145" s="76"/>
      <c r="F145" s="76"/>
      <c r="G145" s="76"/>
      <c r="H145" s="60"/>
      <c r="I145" s="60"/>
      <c r="J145" s="60"/>
      <c r="K145" s="60"/>
      <c r="L145" s="60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25">
      <c r="A146" s="1"/>
      <c r="B146" s="60"/>
      <c r="C146" s="60"/>
      <c r="D146" s="60"/>
      <c r="E146" s="76"/>
      <c r="F146" s="76"/>
      <c r="G146" s="76"/>
      <c r="H146" s="60"/>
      <c r="I146" s="60"/>
      <c r="J146" s="60"/>
      <c r="K146" s="60"/>
      <c r="L146" s="6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25">
      <c r="A147" s="1"/>
      <c r="B147" s="60"/>
      <c r="C147" s="60"/>
      <c r="D147" s="60"/>
      <c r="E147" s="76"/>
      <c r="F147" s="76"/>
      <c r="G147" s="76"/>
      <c r="H147" s="60"/>
      <c r="I147" s="60"/>
      <c r="J147" s="60"/>
      <c r="K147" s="60"/>
      <c r="L147" s="6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25">
      <c r="A148" s="1"/>
      <c r="B148" s="60"/>
      <c r="C148" s="60"/>
      <c r="D148" s="60"/>
      <c r="E148" s="76"/>
      <c r="F148" s="76"/>
      <c r="G148" s="76"/>
      <c r="H148" s="60"/>
      <c r="I148" s="60"/>
      <c r="J148" s="60"/>
      <c r="K148" s="60"/>
      <c r="L148" s="60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25">
      <c r="A149" s="1"/>
      <c r="B149" s="60"/>
      <c r="C149" s="60"/>
      <c r="D149" s="60"/>
      <c r="E149" s="76"/>
      <c r="F149" s="76"/>
      <c r="G149" s="76"/>
      <c r="H149" s="60"/>
      <c r="I149" s="60"/>
      <c r="J149" s="60"/>
      <c r="K149" s="60"/>
      <c r="L149" s="60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25">
      <c r="A150" s="1"/>
      <c r="B150" s="60"/>
      <c r="C150" s="60"/>
      <c r="D150" s="60"/>
      <c r="E150" s="76"/>
      <c r="F150" s="76"/>
      <c r="G150" s="76"/>
      <c r="H150" s="60"/>
      <c r="I150" s="60"/>
      <c r="J150" s="60"/>
      <c r="K150" s="60"/>
      <c r="L150" s="60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25">
      <c r="A151" s="1"/>
      <c r="B151" s="60"/>
      <c r="C151" s="60"/>
      <c r="D151" s="60"/>
      <c r="E151" s="76"/>
      <c r="F151" s="76"/>
      <c r="G151" s="76"/>
      <c r="H151" s="60"/>
      <c r="I151" s="60"/>
      <c r="J151" s="60"/>
      <c r="K151" s="60"/>
      <c r="L151" s="60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25">
      <c r="A152" s="1"/>
      <c r="B152" s="60"/>
      <c r="C152" s="60"/>
      <c r="D152" s="60"/>
      <c r="E152" s="76"/>
      <c r="F152" s="76"/>
      <c r="G152" s="76"/>
      <c r="H152" s="60"/>
      <c r="I152" s="60"/>
      <c r="J152" s="60"/>
      <c r="K152" s="60"/>
      <c r="L152" s="6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25">
      <c r="A153" s="1"/>
      <c r="B153" s="60"/>
      <c r="C153" s="60"/>
      <c r="D153" s="60"/>
      <c r="E153" s="76"/>
      <c r="F153" s="76"/>
      <c r="G153" s="76"/>
      <c r="H153" s="60"/>
      <c r="I153" s="60"/>
      <c r="J153" s="60"/>
      <c r="K153" s="60"/>
      <c r="L153" s="60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25">
      <c r="A154" s="1"/>
      <c r="B154" s="60"/>
      <c r="C154" s="60"/>
      <c r="D154" s="60"/>
      <c r="E154" s="76"/>
      <c r="F154" s="76"/>
      <c r="G154" s="76"/>
      <c r="H154" s="60"/>
      <c r="I154" s="60"/>
      <c r="J154" s="60"/>
      <c r="K154" s="60"/>
      <c r="L154" s="60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25">
      <c r="A155" s="1"/>
      <c r="B155" s="60"/>
      <c r="C155" s="60"/>
      <c r="D155" s="60"/>
      <c r="E155" s="76"/>
      <c r="F155" s="76"/>
      <c r="G155" s="76"/>
      <c r="H155" s="60"/>
      <c r="I155" s="60"/>
      <c r="J155" s="60"/>
      <c r="K155" s="60"/>
      <c r="L155" s="60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25">
      <c r="A156" s="1"/>
      <c r="B156" s="60"/>
      <c r="C156" s="60"/>
      <c r="D156" s="60"/>
      <c r="E156" s="76"/>
      <c r="F156" s="76"/>
      <c r="G156" s="76"/>
      <c r="H156" s="60"/>
      <c r="I156" s="60"/>
      <c r="J156" s="60"/>
      <c r="K156" s="60"/>
      <c r="L156" s="60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25">
      <c r="A157" s="1"/>
      <c r="B157" s="60"/>
      <c r="C157" s="60"/>
      <c r="D157" s="60"/>
      <c r="E157" s="76"/>
      <c r="F157" s="76"/>
      <c r="G157" s="76"/>
      <c r="H157" s="60"/>
      <c r="I157" s="60"/>
      <c r="J157" s="60"/>
      <c r="K157" s="60"/>
      <c r="L157" s="60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25">
      <c r="A158" s="1"/>
      <c r="B158" s="60"/>
      <c r="C158" s="60"/>
      <c r="D158" s="60"/>
      <c r="E158" s="76"/>
      <c r="F158" s="76"/>
      <c r="G158" s="76"/>
      <c r="H158" s="60"/>
      <c r="I158" s="60"/>
      <c r="J158" s="60"/>
      <c r="K158" s="60"/>
      <c r="L158" s="60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25">
      <c r="A159" s="1"/>
      <c r="B159" s="60"/>
      <c r="C159" s="60"/>
      <c r="D159" s="60"/>
      <c r="E159" s="76"/>
      <c r="F159" s="76"/>
      <c r="G159" s="76"/>
      <c r="H159" s="60"/>
      <c r="I159" s="60"/>
      <c r="J159" s="60"/>
      <c r="K159" s="60"/>
      <c r="L159" s="60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25">
      <c r="A160" s="1"/>
      <c r="B160" s="60"/>
      <c r="C160" s="60"/>
      <c r="D160" s="60"/>
      <c r="E160" s="76"/>
      <c r="F160" s="76"/>
      <c r="G160" s="76"/>
      <c r="H160" s="60"/>
      <c r="I160" s="60"/>
      <c r="J160" s="60"/>
      <c r="K160" s="60"/>
      <c r="L160" s="60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25">
      <c r="A161" s="1"/>
      <c r="B161" s="60"/>
      <c r="C161" s="60"/>
      <c r="D161" s="60"/>
      <c r="E161" s="76"/>
      <c r="F161" s="76"/>
      <c r="G161" s="76"/>
      <c r="H161" s="60"/>
      <c r="I161" s="60"/>
      <c r="J161" s="60"/>
      <c r="K161" s="60"/>
      <c r="L161" s="6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25">
      <c r="A162" s="1"/>
      <c r="B162" s="60"/>
      <c r="C162" s="60"/>
      <c r="D162" s="60"/>
      <c r="E162" s="76"/>
      <c r="F162" s="76"/>
      <c r="G162" s="76"/>
      <c r="H162" s="60"/>
      <c r="I162" s="60"/>
      <c r="J162" s="60"/>
      <c r="K162" s="60"/>
      <c r="L162" s="60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25">
      <c r="A163" s="1"/>
      <c r="B163" s="60"/>
      <c r="C163" s="60"/>
      <c r="D163" s="60"/>
      <c r="E163" s="76"/>
      <c r="F163" s="76"/>
      <c r="G163" s="76"/>
      <c r="H163" s="60"/>
      <c r="I163" s="60"/>
      <c r="J163" s="60"/>
      <c r="K163" s="60"/>
      <c r="L163" s="60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25">
      <c r="A164" s="1"/>
      <c r="B164" s="60"/>
      <c r="C164" s="60"/>
      <c r="D164" s="60"/>
      <c r="E164" s="76"/>
      <c r="F164" s="76"/>
      <c r="G164" s="76"/>
      <c r="H164" s="60"/>
      <c r="I164" s="60"/>
      <c r="J164" s="60"/>
      <c r="K164" s="60"/>
      <c r="L164" s="60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25">
      <c r="A165" s="1"/>
      <c r="B165" s="60"/>
      <c r="C165" s="60"/>
      <c r="D165" s="60"/>
      <c r="E165" s="76"/>
      <c r="F165" s="76"/>
      <c r="G165" s="76"/>
      <c r="H165" s="60"/>
      <c r="I165" s="60"/>
      <c r="J165" s="60"/>
      <c r="K165" s="60"/>
      <c r="L165" s="6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25">
      <c r="A166" s="1"/>
      <c r="B166" s="60"/>
      <c r="C166" s="60"/>
      <c r="D166" s="60"/>
      <c r="E166" s="76"/>
      <c r="F166" s="76"/>
      <c r="G166" s="76"/>
      <c r="H166" s="60"/>
      <c r="I166" s="60"/>
      <c r="J166" s="60"/>
      <c r="K166" s="60"/>
      <c r="L166" s="60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25">
      <c r="A167" s="1"/>
      <c r="B167" s="60"/>
      <c r="C167" s="60"/>
      <c r="D167" s="60"/>
      <c r="E167" s="76"/>
      <c r="F167" s="76"/>
      <c r="G167" s="76"/>
      <c r="H167" s="60"/>
      <c r="I167" s="60"/>
      <c r="J167" s="60"/>
      <c r="K167" s="60"/>
      <c r="L167" s="6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25">
      <c r="A168" s="1"/>
      <c r="B168" s="60"/>
      <c r="C168" s="60"/>
      <c r="D168" s="60"/>
      <c r="E168" s="76"/>
      <c r="F168" s="76"/>
      <c r="G168" s="76"/>
      <c r="H168" s="60"/>
      <c r="I168" s="60"/>
      <c r="J168" s="60"/>
      <c r="K168" s="60"/>
      <c r="L168" s="6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25">
      <c r="A169" s="1"/>
      <c r="B169" s="60"/>
      <c r="C169" s="60"/>
      <c r="D169" s="60"/>
      <c r="E169" s="76"/>
      <c r="F169" s="76"/>
      <c r="G169" s="76"/>
      <c r="H169" s="60"/>
      <c r="I169" s="60"/>
      <c r="J169" s="60"/>
      <c r="K169" s="60"/>
      <c r="L169" s="60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25">
      <c r="A170" s="1"/>
      <c r="B170" s="60"/>
      <c r="C170" s="60"/>
      <c r="D170" s="60"/>
      <c r="E170" s="76"/>
      <c r="F170" s="76"/>
      <c r="G170" s="76"/>
      <c r="H170" s="60"/>
      <c r="I170" s="60"/>
      <c r="J170" s="60"/>
      <c r="K170" s="60"/>
      <c r="L170" s="6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25">
      <c r="A171" s="1"/>
      <c r="B171" s="60"/>
      <c r="C171" s="60"/>
      <c r="D171" s="60"/>
      <c r="E171" s="76"/>
      <c r="F171" s="76"/>
      <c r="G171" s="76"/>
      <c r="H171" s="60"/>
      <c r="I171" s="60"/>
      <c r="J171" s="60"/>
      <c r="K171" s="60"/>
      <c r="L171" s="60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25">
      <c r="A172" s="1"/>
      <c r="B172" s="60"/>
      <c r="C172" s="60"/>
      <c r="D172" s="60"/>
      <c r="E172" s="76"/>
      <c r="F172" s="76"/>
      <c r="G172" s="76"/>
      <c r="H172" s="60"/>
      <c r="I172" s="60"/>
      <c r="J172" s="60"/>
      <c r="K172" s="60"/>
      <c r="L172" s="6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25">
      <c r="A173" s="1"/>
      <c r="B173" s="60"/>
      <c r="C173" s="60"/>
      <c r="D173" s="60"/>
      <c r="E173" s="76"/>
      <c r="F173" s="76"/>
      <c r="G173" s="76"/>
      <c r="H173" s="60"/>
      <c r="I173" s="60"/>
      <c r="J173" s="60"/>
      <c r="K173" s="60"/>
      <c r="L173" s="60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25">
      <c r="A174" s="1"/>
      <c r="B174" s="60"/>
      <c r="C174" s="60"/>
      <c r="D174" s="60"/>
      <c r="E174" s="76"/>
      <c r="F174" s="76"/>
      <c r="G174" s="76"/>
      <c r="H174" s="60"/>
      <c r="I174" s="60"/>
      <c r="J174" s="60"/>
      <c r="K174" s="60"/>
      <c r="L174" s="6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25">
      <c r="A175" s="1"/>
      <c r="B175" s="60"/>
      <c r="C175" s="60"/>
      <c r="D175" s="60"/>
      <c r="E175" s="76"/>
      <c r="F175" s="76"/>
      <c r="G175" s="76"/>
      <c r="H175" s="60"/>
      <c r="I175" s="60"/>
      <c r="J175" s="60"/>
      <c r="K175" s="60"/>
      <c r="L175" s="6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25">
      <c r="A176" s="1"/>
      <c r="B176" s="60"/>
      <c r="C176" s="60"/>
      <c r="D176" s="60"/>
      <c r="E176" s="76"/>
      <c r="F176" s="76"/>
      <c r="G176" s="76"/>
      <c r="H176" s="60"/>
      <c r="I176" s="60"/>
      <c r="J176" s="60"/>
      <c r="K176" s="60"/>
      <c r="L176" s="60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25">
      <c r="A177" s="1"/>
      <c r="B177" s="60"/>
      <c r="C177" s="60"/>
      <c r="D177" s="60"/>
      <c r="E177" s="76"/>
      <c r="F177" s="76"/>
      <c r="G177" s="76"/>
      <c r="H177" s="60"/>
      <c r="I177" s="60"/>
      <c r="J177" s="60"/>
      <c r="K177" s="60"/>
      <c r="L177" s="60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25">
      <c r="A178" s="1"/>
      <c r="B178" s="60"/>
      <c r="C178" s="60"/>
      <c r="D178" s="60"/>
      <c r="E178" s="76"/>
      <c r="F178" s="76"/>
      <c r="G178" s="76"/>
      <c r="H178" s="60"/>
      <c r="I178" s="60"/>
      <c r="J178" s="60"/>
      <c r="K178" s="60"/>
      <c r="L178" s="60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25">
      <c r="A179" s="1"/>
      <c r="B179" s="60"/>
      <c r="C179" s="60"/>
      <c r="D179" s="60"/>
      <c r="E179" s="76"/>
      <c r="F179" s="76"/>
      <c r="G179" s="76"/>
      <c r="H179" s="60"/>
      <c r="I179" s="60"/>
      <c r="J179" s="60"/>
      <c r="K179" s="60"/>
      <c r="L179" s="6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25">
      <c r="A180" s="1"/>
      <c r="B180" s="60"/>
      <c r="C180" s="60"/>
      <c r="D180" s="60"/>
      <c r="E180" s="76"/>
      <c r="F180" s="76"/>
      <c r="G180" s="76"/>
      <c r="H180" s="60"/>
      <c r="I180" s="60"/>
      <c r="J180" s="60"/>
      <c r="K180" s="60"/>
      <c r="L180" s="60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25">
      <c r="A181" s="1"/>
      <c r="B181" s="60"/>
      <c r="C181" s="60"/>
      <c r="D181" s="60"/>
      <c r="E181" s="76"/>
      <c r="F181" s="76"/>
      <c r="G181" s="76"/>
      <c r="H181" s="60"/>
      <c r="I181" s="60"/>
      <c r="J181" s="60"/>
      <c r="K181" s="60"/>
      <c r="L181" s="6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25">
      <c r="A182" s="1"/>
      <c r="B182" s="60"/>
      <c r="C182" s="60"/>
      <c r="D182" s="60"/>
      <c r="E182" s="76"/>
      <c r="F182" s="76"/>
      <c r="G182" s="76"/>
      <c r="H182" s="60"/>
      <c r="I182" s="60"/>
      <c r="J182" s="60"/>
      <c r="K182" s="60"/>
      <c r="L182" s="60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25">
      <c r="A183" s="1"/>
      <c r="B183" s="60"/>
      <c r="C183" s="60"/>
      <c r="D183" s="60"/>
      <c r="E183" s="76"/>
      <c r="F183" s="76"/>
      <c r="G183" s="76"/>
      <c r="H183" s="60"/>
      <c r="I183" s="60"/>
      <c r="J183" s="60"/>
      <c r="K183" s="60"/>
      <c r="L183" s="6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25">
      <c r="A184" s="1"/>
      <c r="B184" s="60"/>
      <c r="C184" s="60"/>
      <c r="D184" s="60"/>
      <c r="E184" s="76"/>
      <c r="F184" s="76"/>
      <c r="G184" s="76"/>
      <c r="H184" s="60"/>
      <c r="I184" s="60"/>
      <c r="J184" s="60"/>
      <c r="K184" s="60"/>
      <c r="L184" s="6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25">
      <c r="A185" s="1"/>
      <c r="B185" s="60"/>
      <c r="C185" s="60"/>
      <c r="D185" s="60"/>
      <c r="E185" s="76"/>
      <c r="F185" s="76"/>
      <c r="G185" s="76"/>
      <c r="H185" s="60"/>
      <c r="I185" s="60"/>
      <c r="J185" s="60"/>
      <c r="K185" s="60"/>
      <c r="L185" s="6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25">
      <c r="A186" s="1"/>
      <c r="B186" s="60"/>
      <c r="C186" s="60"/>
      <c r="D186" s="60"/>
      <c r="E186" s="76"/>
      <c r="F186" s="76"/>
      <c r="G186" s="76"/>
      <c r="H186" s="60"/>
      <c r="I186" s="60"/>
      <c r="J186" s="60"/>
      <c r="K186" s="60"/>
      <c r="L186" s="6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25">
      <c r="A187" s="1"/>
      <c r="B187" s="60"/>
      <c r="C187" s="60"/>
      <c r="D187" s="60"/>
      <c r="E187" s="76"/>
      <c r="F187" s="76"/>
      <c r="G187" s="76"/>
      <c r="H187" s="60"/>
      <c r="I187" s="60"/>
      <c r="J187" s="60"/>
      <c r="K187" s="60"/>
      <c r="L187" s="60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25">
      <c r="A188" s="1"/>
      <c r="B188" s="60"/>
      <c r="C188" s="60"/>
      <c r="D188" s="60"/>
      <c r="E188" s="76"/>
      <c r="F188" s="76"/>
      <c r="G188" s="76"/>
      <c r="H188" s="60"/>
      <c r="I188" s="60"/>
      <c r="J188" s="60"/>
      <c r="K188" s="60"/>
      <c r="L188" s="6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25">
      <c r="A189" s="1"/>
      <c r="B189" s="60"/>
      <c r="C189" s="60"/>
      <c r="D189" s="60"/>
      <c r="E189" s="76"/>
      <c r="F189" s="76"/>
      <c r="G189" s="76"/>
      <c r="H189" s="60"/>
      <c r="I189" s="60"/>
      <c r="J189" s="60"/>
      <c r="K189" s="60"/>
      <c r="L189" s="6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25">
      <c r="A190" s="1"/>
      <c r="B190" s="60"/>
      <c r="C190" s="60"/>
      <c r="D190" s="60"/>
      <c r="E190" s="76"/>
      <c r="F190" s="76"/>
      <c r="G190" s="76"/>
      <c r="H190" s="60"/>
      <c r="I190" s="60"/>
      <c r="J190" s="60"/>
      <c r="K190" s="60"/>
      <c r="L190" s="6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25">
      <c r="A191" s="1"/>
      <c r="B191" s="60"/>
      <c r="C191" s="60"/>
      <c r="D191" s="60"/>
      <c r="E191" s="76"/>
      <c r="F191" s="76"/>
      <c r="G191" s="76"/>
      <c r="H191" s="60"/>
      <c r="I191" s="60"/>
      <c r="J191" s="60"/>
      <c r="K191" s="60"/>
      <c r="L191" s="60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25">
      <c r="A192" s="1"/>
      <c r="B192" s="60"/>
      <c r="C192" s="60"/>
      <c r="D192" s="60"/>
      <c r="E192" s="76"/>
      <c r="F192" s="76"/>
      <c r="G192" s="76"/>
      <c r="H192" s="60"/>
      <c r="I192" s="60"/>
      <c r="J192" s="60"/>
      <c r="K192" s="60"/>
      <c r="L192" s="6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25">
      <c r="A193" s="1"/>
      <c r="B193" s="60"/>
      <c r="C193" s="60"/>
      <c r="D193" s="60"/>
      <c r="E193" s="76"/>
      <c r="F193" s="76"/>
      <c r="G193" s="76"/>
      <c r="H193" s="60"/>
      <c r="I193" s="60"/>
      <c r="J193" s="60"/>
      <c r="K193" s="60"/>
      <c r="L193" s="6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25">
      <c r="A194" s="1"/>
      <c r="B194" s="60"/>
      <c r="C194" s="60"/>
      <c r="D194" s="60"/>
      <c r="E194" s="76"/>
      <c r="F194" s="76"/>
      <c r="G194" s="76"/>
      <c r="H194" s="60"/>
      <c r="I194" s="60"/>
      <c r="J194" s="60"/>
      <c r="K194" s="60"/>
      <c r="L194" s="6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25">
      <c r="A195" s="1"/>
      <c r="B195" s="60"/>
      <c r="C195" s="60"/>
      <c r="D195" s="60"/>
      <c r="E195" s="76"/>
      <c r="F195" s="76"/>
      <c r="G195" s="76"/>
      <c r="H195" s="60"/>
      <c r="I195" s="60"/>
      <c r="J195" s="60"/>
      <c r="K195" s="60"/>
      <c r="L195" s="6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25">
      <c r="A196" s="1"/>
      <c r="B196" s="60"/>
      <c r="C196" s="60"/>
      <c r="D196" s="60"/>
      <c r="E196" s="76"/>
      <c r="F196" s="76"/>
      <c r="G196" s="76"/>
      <c r="H196" s="60"/>
      <c r="I196" s="60"/>
      <c r="J196" s="60"/>
      <c r="K196" s="60"/>
      <c r="L196" s="6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25">
      <c r="A197" s="1"/>
      <c r="B197" s="60"/>
      <c r="C197" s="60"/>
      <c r="D197" s="60"/>
      <c r="E197" s="76"/>
      <c r="F197" s="76"/>
      <c r="G197" s="76"/>
      <c r="H197" s="60"/>
      <c r="I197" s="60"/>
      <c r="J197" s="60"/>
      <c r="K197" s="60"/>
      <c r="L197" s="60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25">
      <c r="A198" s="1"/>
      <c r="B198" s="60"/>
      <c r="C198" s="60"/>
      <c r="D198" s="60"/>
      <c r="E198" s="76"/>
      <c r="F198" s="76"/>
      <c r="G198" s="76"/>
      <c r="H198" s="60"/>
      <c r="I198" s="60"/>
      <c r="J198" s="60"/>
      <c r="K198" s="60"/>
      <c r="L198" s="60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4.25" customHeight="1" x14ac:dyDescent="0.2"/>
    <row r="313" spans="1:32" ht="14.25" customHeight="1" x14ac:dyDescent="0.2"/>
    <row r="314" spans="1:32" ht="14.25" customHeight="1" x14ac:dyDescent="0.2"/>
    <row r="315" spans="1:32" ht="14.25" customHeight="1" x14ac:dyDescent="0.2"/>
    <row r="316" spans="1:32" ht="14.25" customHeight="1" x14ac:dyDescent="0.2"/>
    <row r="317" spans="1:32" ht="14.25" customHeight="1" x14ac:dyDescent="0.2"/>
    <row r="318" spans="1:32" ht="14.25" customHeight="1" x14ac:dyDescent="0.2"/>
    <row r="319" spans="1:32" ht="14.25" customHeight="1" x14ac:dyDescent="0.2"/>
    <row r="320" spans="1:32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  <row r="1007" ht="14.25" customHeight="1" x14ac:dyDescent="0.2"/>
    <row r="1008" ht="14.25" customHeight="1" x14ac:dyDescent="0.2"/>
    <row r="1009" ht="14.25" customHeight="1" x14ac:dyDescent="0.2"/>
    <row r="1010" ht="14.25" customHeight="1" x14ac:dyDescent="0.2"/>
    <row r="1011" ht="14.25" customHeight="1" x14ac:dyDescent="0.2"/>
    <row r="1012" ht="14.25" customHeight="1" x14ac:dyDescent="0.2"/>
    <row r="1013" ht="14.25" customHeight="1" x14ac:dyDescent="0.2"/>
    <row r="1014" ht="14.25" customHeight="1" x14ac:dyDescent="0.2"/>
    <row r="1015" ht="14.25" customHeight="1" x14ac:dyDescent="0.2"/>
    <row r="1016" ht="14.25" customHeight="1" x14ac:dyDescent="0.2"/>
    <row r="1017" ht="14.25" customHeight="1" x14ac:dyDescent="0.2"/>
    <row r="1018" ht="14.25" customHeight="1" x14ac:dyDescent="0.2"/>
    <row r="1019" ht="14.25" customHeight="1" x14ac:dyDescent="0.2"/>
    <row r="1020" ht="14.25" customHeight="1" x14ac:dyDescent="0.2"/>
    <row r="1021" ht="14.25" customHeight="1" x14ac:dyDescent="0.2"/>
    <row r="1022" ht="14.25" customHeight="1" x14ac:dyDescent="0.2"/>
    <row r="1023" ht="14.25" customHeight="1" x14ac:dyDescent="0.2"/>
    <row r="1024" ht="14.25" customHeight="1" x14ac:dyDescent="0.2"/>
    <row r="1025" ht="14.25" customHeight="1" x14ac:dyDescent="0.2"/>
    <row r="1026" ht="14.25" customHeight="1" x14ac:dyDescent="0.2"/>
    <row r="1027" ht="14.25" customHeight="1" x14ac:dyDescent="0.2"/>
    <row r="1028" ht="14.25" customHeight="1" x14ac:dyDescent="0.2"/>
    <row r="1029" ht="14.25" customHeight="1" x14ac:dyDescent="0.2"/>
    <row r="1030" ht="14.25" customHeight="1" x14ac:dyDescent="0.2"/>
    <row r="1031" ht="14.25" customHeight="1" x14ac:dyDescent="0.2"/>
    <row r="1032" ht="14.25" customHeight="1" x14ac:dyDescent="0.2"/>
    <row r="1033" ht="14.25" customHeight="1" x14ac:dyDescent="0.2"/>
  </sheetData>
  <mergeCells count="33">
    <mergeCell ref="B105:L105"/>
    <mergeCell ref="B69:L69"/>
    <mergeCell ref="B82:L82"/>
    <mergeCell ref="B89:L89"/>
    <mergeCell ref="B93:L93"/>
    <mergeCell ref="B97:L97"/>
    <mergeCell ref="B101:L101"/>
    <mergeCell ref="L66:L68"/>
    <mergeCell ref="K3:K5"/>
    <mergeCell ref="L3:L5"/>
    <mergeCell ref="B6:L6"/>
    <mergeCell ref="B46:L46"/>
    <mergeCell ref="A64:L64"/>
    <mergeCell ref="B66:B68"/>
    <mergeCell ref="C66:C68"/>
    <mergeCell ref="D66:D68"/>
    <mergeCell ref="E66:E68"/>
    <mergeCell ref="F66:F68"/>
    <mergeCell ref="G66:G68"/>
    <mergeCell ref="H66:H68"/>
    <mergeCell ref="I66:I68"/>
    <mergeCell ref="J66:J68"/>
    <mergeCell ref="K66:K68"/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rintOptions horizontalCentered="1"/>
  <pageMargins left="0.31496062992125984" right="0.31496062992125984" top="0.39370078740157483" bottom="0.39370078740157483" header="0" footer="0"/>
  <pageSetup paperSize="9"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F1030"/>
  <sheetViews>
    <sheetView topLeftCell="A4" zoomScaleNormal="100" workbookViewId="0">
      <selection activeCell="E57" sqref="E57"/>
    </sheetView>
  </sheetViews>
  <sheetFormatPr defaultColWidth="12.625" defaultRowHeight="15" customHeight="1" x14ac:dyDescent="0.2"/>
  <cols>
    <col min="1" max="1" width="30.125" customWidth="1"/>
    <col min="2" max="2" width="10.875" customWidth="1"/>
    <col min="3" max="3" width="10.25" customWidth="1"/>
    <col min="4" max="4" width="11.875" customWidth="1"/>
    <col min="5" max="5" width="11.375" bestFit="1" customWidth="1"/>
    <col min="6" max="6" width="9.625" customWidth="1"/>
    <col min="7" max="7" width="15" customWidth="1"/>
    <col min="8" max="8" width="12.75" customWidth="1"/>
    <col min="9" max="9" width="10.375" customWidth="1"/>
    <col min="10" max="10" width="12.5" customWidth="1"/>
    <col min="11" max="11" width="10.25" customWidth="1"/>
    <col min="12" max="12" width="15.375" customWidth="1"/>
    <col min="13" max="13" width="11" customWidth="1"/>
    <col min="14" max="14" width="9.875" customWidth="1"/>
    <col min="15" max="15" width="8" customWidth="1"/>
    <col min="16" max="16" width="10.25" customWidth="1"/>
    <col min="17" max="32" width="8" customWidth="1"/>
  </cols>
  <sheetData>
    <row r="1" spans="1:32" ht="14.25" customHeight="1" x14ac:dyDescent="0.25">
      <c r="A1" s="238" t="s">
        <v>90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5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customHeight="1" x14ac:dyDescent="0.25">
      <c r="A2" s="88" t="s">
        <v>157</v>
      </c>
      <c r="B2" s="89">
        <v>2022</v>
      </c>
      <c r="C2" s="90"/>
      <c r="D2" s="90"/>
      <c r="E2" s="65"/>
      <c r="F2" s="65"/>
      <c r="G2" s="65"/>
      <c r="H2" s="90"/>
      <c r="I2" s="90"/>
      <c r="J2" s="90"/>
      <c r="K2" s="90"/>
      <c r="L2" s="90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91" t="s">
        <v>2</v>
      </c>
      <c r="B3" s="231" t="s">
        <v>3</v>
      </c>
      <c r="C3" s="231" t="s">
        <v>92</v>
      </c>
      <c r="D3" s="228" t="s">
        <v>93</v>
      </c>
      <c r="E3" s="241" t="s">
        <v>8</v>
      </c>
      <c r="F3" s="244" t="s">
        <v>94</v>
      </c>
      <c r="G3" s="244" t="s">
        <v>9</v>
      </c>
      <c r="H3" s="231" t="s">
        <v>11</v>
      </c>
      <c r="I3" s="231" t="s">
        <v>95</v>
      </c>
      <c r="J3" s="228" t="s">
        <v>12</v>
      </c>
      <c r="K3" s="228" t="s">
        <v>13</v>
      </c>
      <c r="L3" s="228" t="s">
        <v>14</v>
      </c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x14ac:dyDescent="0.25">
      <c r="A4" s="90" t="s">
        <v>15</v>
      </c>
      <c r="B4" s="229"/>
      <c r="C4" s="229"/>
      <c r="D4" s="229"/>
      <c r="E4" s="242"/>
      <c r="F4" s="229"/>
      <c r="G4" s="229"/>
      <c r="H4" s="229"/>
      <c r="I4" s="229"/>
      <c r="J4" s="229"/>
      <c r="K4" s="229"/>
      <c r="L4" s="229"/>
      <c r="M4" s="5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 x14ac:dyDescent="0.25">
      <c r="A5" s="92" t="s">
        <v>16</v>
      </c>
      <c r="B5" s="237"/>
      <c r="C5" s="237"/>
      <c r="D5" s="237"/>
      <c r="E5" s="243"/>
      <c r="F5" s="237"/>
      <c r="G5" s="237"/>
      <c r="H5" s="237"/>
      <c r="I5" s="237"/>
      <c r="J5" s="237"/>
      <c r="K5" s="237"/>
      <c r="L5" s="237"/>
      <c r="M5" s="5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 x14ac:dyDescent="0.25">
      <c r="A6" s="2" t="s">
        <v>96</v>
      </c>
      <c r="B6" s="235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5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 x14ac:dyDescent="0.25">
      <c r="A7" s="8" t="s">
        <v>99</v>
      </c>
      <c r="B7" s="54"/>
      <c r="C7" s="54"/>
      <c r="D7" s="54"/>
      <c r="E7" s="66"/>
      <c r="F7" s="66"/>
      <c r="G7" s="66"/>
      <c r="H7" s="54"/>
      <c r="I7" s="54"/>
      <c r="J7" s="54"/>
      <c r="K7" s="54"/>
      <c r="L7" s="54"/>
      <c r="M7" s="5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 x14ac:dyDescent="0.25">
      <c r="A8" s="10" t="s">
        <v>151</v>
      </c>
      <c r="B8" s="54"/>
      <c r="C8" s="54"/>
      <c r="D8" s="54"/>
      <c r="E8" s="66"/>
      <c r="F8" s="66"/>
      <c r="G8" s="66"/>
      <c r="H8" s="54"/>
      <c r="I8" s="54"/>
      <c r="J8" s="54"/>
      <c r="K8" s="54"/>
      <c r="L8" s="54"/>
      <c r="M8" s="5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 x14ac:dyDescent="0.25">
      <c r="A9" s="6">
        <v>43171</v>
      </c>
      <c r="B9" s="55">
        <v>2058.0500000000002</v>
      </c>
      <c r="C9" s="55"/>
      <c r="D9" s="55"/>
      <c r="E9" s="67"/>
      <c r="F9" s="68"/>
      <c r="G9" s="69">
        <f>SUM(B9:F9)</f>
        <v>2058.0500000000002</v>
      </c>
      <c r="H9" s="56">
        <v>167.04</v>
      </c>
      <c r="I9" s="56"/>
      <c r="J9" s="56">
        <f>62.15+2.6+66.85</f>
        <v>131.6</v>
      </c>
      <c r="K9" s="56">
        <f>SUM(H9:J9)</f>
        <v>298.64</v>
      </c>
      <c r="L9" s="56">
        <f>G9-K9</f>
        <v>1759.4100000000003</v>
      </c>
      <c r="M9" s="5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.75" customHeight="1" x14ac:dyDescent="0.25">
      <c r="A10" s="8" t="s">
        <v>101</v>
      </c>
      <c r="B10" s="57"/>
      <c r="C10" s="57"/>
      <c r="D10" s="57"/>
      <c r="E10" s="70"/>
      <c r="F10" s="70"/>
      <c r="G10" s="66"/>
      <c r="H10" s="54"/>
      <c r="I10" s="54"/>
      <c r="J10" s="54"/>
      <c r="K10" s="54"/>
      <c r="L10" s="54"/>
      <c r="M10" s="5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.75" customHeight="1" x14ac:dyDescent="0.25">
      <c r="A11" s="5" t="s">
        <v>144</v>
      </c>
      <c r="B11" s="57"/>
      <c r="C11" s="57"/>
      <c r="D11" s="57"/>
      <c r="E11" s="70"/>
      <c r="F11" s="70"/>
      <c r="G11" s="66"/>
      <c r="H11" s="54"/>
      <c r="I11" s="54"/>
      <c r="J11" s="54"/>
      <c r="K11" s="54"/>
      <c r="L11" s="54"/>
      <c r="M11" s="52"/>
      <c r="N11" s="1"/>
      <c r="O11" s="1"/>
      <c r="P11" s="34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.75" customHeight="1" x14ac:dyDescent="0.25">
      <c r="A12" s="6">
        <v>42037</v>
      </c>
      <c r="B12" s="55">
        <v>2595.1</v>
      </c>
      <c r="C12" s="55">
        <f>2786.32</f>
        <v>2786.32</v>
      </c>
      <c r="D12" s="55">
        <v>51.9</v>
      </c>
      <c r="E12" s="67"/>
      <c r="F12" s="68">
        <v>2089.7399999999998</v>
      </c>
      <c r="G12" s="69">
        <f>SUM(B12:F12)</f>
        <v>7523.0599999999995</v>
      </c>
      <c r="H12" s="56">
        <f>327.1+221.43</f>
        <v>548.53</v>
      </c>
      <c r="I12" s="56">
        <f>31.19+49.57</f>
        <v>80.760000000000005</v>
      </c>
      <c r="J12" s="56">
        <f>62.15+1.56+126.81</f>
        <v>190.52</v>
      </c>
      <c r="K12" s="56">
        <f>H12+I12+J12</f>
        <v>819.81</v>
      </c>
      <c r="L12" s="56">
        <f>G12-K12</f>
        <v>6703.25</v>
      </c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4.25" customHeight="1" x14ac:dyDescent="0.25">
      <c r="A13" s="8" t="s">
        <v>103</v>
      </c>
      <c r="B13" s="57"/>
      <c r="C13" s="57"/>
      <c r="D13" s="57"/>
      <c r="E13" s="70"/>
      <c r="F13" s="70"/>
      <c r="G13" s="66"/>
      <c r="H13" s="54"/>
      <c r="I13" s="54"/>
      <c r="J13" s="54"/>
      <c r="K13" s="54"/>
      <c r="L13" s="54"/>
      <c r="M13" s="5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4.25" customHeight="1" x14ac:dyDescent="0.25">
      <c r="A14" s="5" t="s">
        <v>104</v>
      </c>
      <c r="B14" s="57"/>
      <c r="C14" s="57"/>
      <c r="D14" s="57"/>
      <c r="E14" s="70"/>
      <c r="F14" s="70"/>
      <c r="G14" s="66"/>
      <c r="H14" s="54"/>
      <c r="I14" s="54"/>
      <c r="J14" s="54"/>
      <c r="K14" s="54"/>
      <c r="L14" s="54"/>
      <c r="M14" s="5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4.25" customHeight="1" x14ac:dyDescent="0.25">
      <c r="A15" s="6">
        <v>41319</v>
      </c>
      <c r="B15" s="55">
        <v>6678.33</v>
      </c>
      <c r="C15" s="55"/>
      <c r="D15" s="55">
        <v>133.56</v>
      </c>
      <c r="E15" s="67">
        <v>3005.25</v>
      </c>
      <c r="F15" s="68"/>
      <c r="G15" s="69">
        <f>SUM(B15:F15)</f>
        <v>9817.14</v>
      </c>
      <c r="H15" s="56">
        <v>828.38</v>
      </c>
      <c r="I15" s="56">
        <v>1498.27</v>
      </c>
      <c r="J15" s="56">
        <f>62.15+2.47+80.13</f>
        <v>144.75</v>
      </c>
      <c r="K15" s="56">
        <f>H15+I15+J15</f>
        <v>2471.4</v>
      </c>
      <c r="L15" s="56">
        <f>G15-K15</f>
        <v>7345.74</v>
      </c>
      <c r="M15" s="5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 x14ac:dyDescent="0.25">
      <c r="A16" s="8" t="s">
        <v>105</v>
      </c>
      <c r="B16" s="58"/>
      <c r="C16" s="58"/>
      <c r="D16" s="58"/>
      <c r="E16" s="71"/>
      <c r="F16" s="72"/>
      <c r="G16" s="73"/>
      <c r="H16" s="83"/>
      <c r="I16" s="83"/>
      <c r="J16" s="83"/>
      <c r="K16" s="83"/>
      <c r="L16" s="83"/>
      <c r="M16" s="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 x14ac:dyDescent="0.25">
      <c r="A17" s="53" t="s">
        <v>106</v>
      </c>
      <c r="B17" s="58"/>
      <c r="C17" s="58"/>
      <c r="D17" s="58"/>
      <c r="E17" s="71"/>
      <c r="F17" s="72"/>
      <c r="G17" s="73"/>
      <c r="H17" s="83"/>
      <c r="I17" s="83"/>
      <c r="J17" s="83"/>
      <c r="K17" s="83"/>
      <c r="L17" s="83"/>
      <c r="M17" s="5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.75" customHeight="1" x14ac:dyDescent="0.25">
      <c r="A18" s="49">
        <v>44522</v>
      </c>
      <c r="B18" s="56">
        <v>3578.94</v>
      </c>
      <c r="C18" s="56"/>
      <c r="D18" s="56"/>
      <c r="E18" s="69"/>
      <c r="F18" s="74"/>
      <c r="G18" s="69">
        <f>SUM(B18:F18)</f>
        <v>3578.94</v>
      </c>
      <c r="H18" s="56">
        <v>338.47</v>
      </c>
      <c r="I18" s="56">
        <v>102.83</v>
      </c>
      <c r="J18" s="56">
        <f>62.15+2.73+280.68</f>
        <v>345.56</v>
      </c>
      <c r="K18" s="56">
        <f>H18+I18+J18</f>
        <v>786.86</v>
      </c>
      <c r="L18" s="56">
        <f>G18-K18</f>
        <v>2792.08</v>
      </c>
      <c r="M18" s="5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.75" customHeight="1" x14ac:dyDescent="0.25">
      <c r="A19" s="3" t="s">
        <v>107</v>
      </c>
      <c r="B19" s="54"/>
      <c r="C19" s="54"/>
      <c r="D19" s="54"/>
      <c r="E19" s="66"/>
      <c r="F19" s="66"/>
      <c r="G19" s="66"/>
      <c r="H19" s="54"/>
      <c r="I19" s="54"/>
      <c r="J19" s="54"/>
      <c r="K19" s="54"/>
      <c r="L19" s="54"/>
      <c r="M19" s="5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.75" customHeight="1" x14ac:dyDescent="0.25">
      <c r="A20" s="5" t="s">
        <v>108</v>
      </c>
      <c r="B20" s="54"/>
      <c r="C20" s="54"/>
      <c r="D20" s="54"/>
      <c r="E20" s="66"/>
      <c r="F20" s="66"/>
      <c r="G20" s="66"/>
      <c r="H20" s="54"/>
      <c r="I20" s="54"/>
      <c r="J20" s="54"/>
      <c r="K20" s="54"/>
      <c r="L20" s="54"/>
      <c r="M20" s="5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x14ac:dyDescent="0.25">
      <c r="A21" s="49">
        <v>44207</v>
      </c>
      <c r="B21" s="56">
        <v>1797.58</v>
      </c>
      <c r="C21" s="56"/>
      <c r="D21" s="56"/>
      <c r="E21" s="69"/>
      <c r="F21" s="74"/>
      <c r="G21" s="69">
        <f>SUM(B21:F21)</f>
        <v>1797.58</v>
      </c>
      <c r="H21" s="56">
        <v>143.6</v>
      </c>
      <c r="I21" s="59"/>
      <c r="J21" s="56">
        <f>62.15+2.47+66.85+26.71</f>
        <v>158.18</v>
      </c>
      <c r="K21" s="56">
        <f>SUM(H21:J21)</f>
        <v>301.77999999999997</v>
      </c>
      <c r="L21" s="56">
        <f>G21-K21</f>
        <v>1495.8</v>
      </c>
      <c r="M21" s="5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x14ac:dyDescent="0.25">
      <c r="A22" s="3" t="s">
        <v>145</v>
      </c>
      <c r="B22" s="54"/>
      <c r="C22" s="54"/>
      <c r="D22" s="54"/>
      <c r="E22" s="66"/>
      <c r="F22" s="66"/>
      <c r="G22" s="66"/>
      <c r="H22" s="54"/>
      <c r="I22" s="54"/>
      <c r="J22" s="54"/>
      <c r="K22" s="54"/>
      <c r="L22" s="54"/>
      <c r="M22" s="5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5" t="s">
        <v>146</v>
      </c>
      <c r="B23" s="54"/>
      <c r="C23" s="54"/>
      <c r="D23" s="54"/>
      <c r="E23" s="66"/>
      <c r="F23" s="66"/>
      <c r="G23" s="66"/>
      <c r="H23" s="54"/>
      <c r="I23" s="54"/>
      <c r="J23" s="54"/>
      <c r="K23" s="54"/>
      <c r="L23" s="54"/>
      <c r="M23" s="5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x14ac:dyDescent="0.25">
      <c r="A24" s="49">
        <v>44608</v>
      </c>
      <c r="B24" s="56">
        <v>4000</v>
      </c>
      <c r="C24" s="56"/>
      <c r="D24" s="56"/>
      <c r="E24" s="69"/>
      <c r="F24" s="74"/>
      <c r="G24" s="69">
        <f>SUM(B24:F24)</f>
        <v>4000</v>
      </c>
      <c r="H24" s="56">
        <v>396.17</v>
      </c>
      <c r="I24" s="59">
        <v>157.34</v>
      </c>
      <c r="J24" s="56">
        <f>62.15+2.73</f>
        <v>64.88</v>
      </c>
      <c r="K24" s="56">
        <f>SUM(H24:J24)</f>
        <v>618.39</v>
      </c>
      <c r="L24" s="56">
        <f>G24-K24</f>
        <v>3381.61</v>
      </c>
      <c r="M24" s="5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x14ac:dyDescent="0.25">
      <c r="A25" s="3" t="s">
        <v>109</v>
      </c>
      <c r="B25" s="54"/>
      <c r="C25" s="54"/>
      <c r="D25" s="54"/>
      <c r="E25" s="66"/>
      <c r="F25" s="66"/>
      <c r="G25" s="66"/>
      <c r="H25" s="54"/>
      <c r="I25" s="54"/>
      <c r="J25" s="54"/>
      <c r="K25" s="54"/>
      <c r="L25" s="54"/>
      <c r="M25" s="5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5" t="s">
        <v>110</v>
      </c>
      <c r="B26" s="54"/>
      <c r="C26" s="54"/>
      <c r="D26" s="54"/>
      <c r="E26" s="66"/>
      <c r="F26" s="66"/>
      <c r="G26" s="66"/>
      <c r="H26" s="54"/>
      <c r="I26" s="54"/>
      <c r="J26" s="54"/>
      <c r="K26" s="54"/>
      <c r="L26" s="54"/>
      <c r="M26" s="5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x14ac:dyDescent="0.25">
      <c r="A27" s="49">
        <v>43739</v>
      </c>
      <c r="B27" s="56">
        <v>2552.9699999999998</v>
      </c>
      <c r="C27" s="56">
        <v>1701.99</v>
      </c>
      <c r="D27" s="56"/>
      <c r="E27" s="69"/>
      <c r="F27" s="87"/>
      <c r="G27" s="69">
        <f>SUM(B27:F27)</f>
        <v>4254.96</v>
      </c>
      <c r="H27" s="56">
        <f>296.88+134.99</f>
        <v>431.87</v>
      </c>
      <c r="I27" s="59">
        <v>26.41</v>
      </c>
      <c r="J27" s="56">
        <f>62.15+1.69+101.18+53.42</f>
        <v>218.44</v>
      </c>
      <c r="K27" s="56">
        <f>SUM(H27:J27)</f>
        <v>676.72</v>
      </c>
      <c r="L27" s="56">
        <f>G27-K27</f>
        <v>3578.24</v>
      </c>
      <c r="M27" s="5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4.25" customHeight="1" x14ac:dyDescent="0.25">
      <c r="A28" s="8" t="s">
        <v>111</v>
      </c>
      <c r="B28" s="54"/>
      <c r="C28" s="54"/>
      <c r="D28" s="54"/>
      <c r="E28" s="66"/>
      <c r="F28" s="66"/>
      <c r="G28" s="66"/>
      <c r="H28" s="54"/>
      <c r="I28" s="54"/>
      <c r="J28" s="54"/>
      <c r="K28" s="54"/>
      <c r="L28" s="54"/>
      <c r="M28" s="5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4.25" customHeight="1" x14ac:dyDescent="0.25">
      <c r="A29" s="10" t="s">
        <v>100</v>
      </c>
      <c r="B29" s="54"/>
      <c r="C29" s="54"/>
      <c r="D29" s="54"/>
      <c r="E29" s="66"/>
      <c r="F29" s="66"/>
      <c r="G29" s="66"/>
      <c r="H29" s="54"/>
      <c r="I29" s="54"/>
      <c r="J29" s="54"/>
      <c r="K29" s="54"/>
      <c r="L29" s="54"/>
      <c r="M29" s="5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4.25" customHeight="1" x14ac:dyDescent="0.25">
      <c r="A30" s="6">
        <v>43648</v>
      </c>
      <c r="B30" s="55">
        <v>1923.41</v>
      </c>
      <c r="C30" s="55"/>
      <c r="D30" s="55"/>
      <c r="E30" s="67"/>
      <c r="F30" s="68"/>
      <c r="G30" s="69">
        <f>SUM(B30:F30)</f>
        <v>1923.41</v>
      </c>
      <c r="H30" s="56">
        <v>154.91999999999999</v>
      </c>
      <c r="I30" s="56"/>
      <c r="J30" s="56">
        <f>62.15+2.73</f>
        <v>64.88</v>
      </c>
      <c r="K30" s="56">
        <f>SUM(H30:J30)</f>
        <v>219.79999999999998</v>
      </c>
      <c r="L30" s="56">
        <f>G30-K30</f>
        <v>1703.6100000000001</v>
      </c>
      <c r="M30" s="5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 x14ac:dyDescent="0.25">
      <c r="A31" s="8" t="s">
        <v>112</v>
      </c>
      <c r="B31" s="54"/>
      <c r="C31" s="54"/>
      <c r="D31" s="54"/>
      <c r="E31" s="66"/>
      <c r="F31" s="66"/>
      <c r="G31" s="66"/>
      <c r="H31" s="54"/>
      <c r="I31" s="54"/>
      <c r="J31" s="54"/>
      <c r="K31" s="54"/>
      <c r="L31" s="54"/>
      <c r="M31" s="5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 x14ac:dyDescent="0.25">
      <c r="A32" s="10" t="s">
        <v>113</v>
      </c>
      <c r="B32" s="54"/>
      <c r="C32" s="54"/>
      <c r="D32" s="54"/>
      <c r="E32" s="66"/>
      <c r="F32" s="66"/>
      <c r="G32" s="66"/>
      <c r="H32" s="54"/>
      <c r="I32" s="54"/>
      <c r="J32" s="54"/>
      <c r="K32" s="54"/>
      <c r="L32" s="54"/>
      <c r="M32" s="5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 x14ac:dyDescent="0.25">
      <c r="A33" s="6">
        <v>44580</v>
      </c>
      <c r="B33" s="55">
        <v>3578.94</v>
      </c>
      <c r="C33" s="55"/>
      <c r="D33" s="55"/>
      <c r="E33" s="67"/>
      <c r="F33" s="68"/>
      <c r="G33" s="69">
        <f>SUM(B33:F33)</f>
        <v>3578.94</v>
      </c>
      <c r="H33" s="56">
        <v>338.47</v>
      </c>
      <c r="I33" s="56">
        <v>131.27000000000001</v>
      </c>
      <c r="J33" s="56">
        <f>62.15+2.73+90.21+80.13</f>
        <v>235.21999999999997</v>
      </c>
      <c r="K33" s="56">
        <f>SUM(H33:J33)</f>
        <v>704.96</v>
      </c>
      <c r="L33" s="56">
        <f>G33-K33</f>
        <v>2873.98</v>
      </c>
      <c r="M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 x14ac:dyDescent="0.25">
      <c r="A34" s="3" t="s">
        <v>114</v>
      </c>
      <c r="B34" s="84"/>
      <c r="C34" s="84"/>
      <c r="D34" s="84"/>
      <c r="E34" s="75"/>
      <c r="F34" s="75"/>
      <c r="G34" s="75"/>
      <c r="H34" s="84"/>
      <c r="I34" s="84"/>
      <c r="J34" s="84"/>
      <c r="K34" s="84"/>
      <c r="L34" s="84"/>
      <c r="M34" s="5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 x14ac:dyDescent="0.25">
      <c r="A35" s="5" t="s">
        <v>100</v>
      </c>
      <c r="B35" s="57"/>
      <c r="C35" s="57"/>
      <c r="D35" s="57"/>
      <c r="E35" s="70"/>
      <c r="F35" s="70"/>
      <c r="G35" s="66"/>
      <c r="H35" s="54"/>
      <c r="I35" s="54"/>
      <c r="J35" s="54"/>
      <c r="K35" s="54"/>
      <c r="L35" s="54"/>
      <c r="M35" s="5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 x14ac:dyDescent="0.25">
      <c r="A36" s="6">
        <v>43325</v>
      </c>
      <c r="B36" s="55">
        <v>1923.41</v>
      </c>
      <c r="C36" s="55"/>
      <c r="D36" s="55"/>
      <c r="E36" s="67"/>
      <c r="F36" s="68"/>
      <c r="G36" s="69">
        <f>SUM(B36:F36)</f>
        <v>1923.41</v>
      </c>
      <c r="H36" s="59">
        <v>154.91999999999999</v>
      </c>
      <c r="I36" s="56"/>
      <c r="J36" s="59">
        <f>62.15+2.73+90.21+26.71</f>
        <v>181.79999999999998</v>
      </c>
      <c r="K36" s="56">
        <f>SUM(H36:J36)</f>
        <v>336.71999999999997</v>
      </c>
      <c r="L36" s="56">
        <f>G36-K36</f>
        <v>1586.69</v>
      </c>
      <c r="M36" s="5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 x14ac:dyDescent="0.25">
      <c r="A37" s="8" t="s">
        <v>115</v>
      </c>
      <c r="B37" s="57"/>
      <c r="C37" s="57"/>
      <c r="D37" s="57"/>
      <c r="E37" s="70"/>
      <c r="F37" s="70"/>
      <c r="G37" s="66"/>
      <c r="H37" s="54"/>
      <c r="I37" s="54"/>
      <c r="J37" s="54"/>
      <c r="K37" s="54"/>
      <c r="L37" s="54"/>
      <c r="M37" s="5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 x14ac:dyDescent="0.25">
      <c r="A38" s="10" t="s">
        <v>116</v>
      </c>
      <c r="B38" s="57"/>
      <c r="C38" s="57"/>
      <c r="D38" s="57"/>
      <c r="E38" s="70"/>
      <c r="F38" s="70"/>
      <c r="G38" s="66"/>
      <c r="H38" s="54"/>
      <c r="I38" s="54"/>
      <c r="J38" s="54"/>
      <c r="K38" s="54"/>
      <c r="L38" s="54"/>
      <c r="M38" s="5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 x14ac:dyDescent="0.25">
      <c r="A39" s="6">
        <v>43325</v>
      </c>
      <c r="B39" s="55">
        <v>1602.84</v>
      </c>
      <c r="C39" s="55">
        <v>619.76</v>
      </c>
      <c r="D39" s="55"/>
      <c r="E39" s="67">
        <v>288.51</v>
      </c>
      <c r="F39" s="68"/>
      <c r="G39" s="69">
        <f>SUM(B39:F39)</f>
        <v>2511.1099999999997</v>
      </c>
      <c r="H39" s="56">
        <f>163.85+46.48</f>
        <v>210.32999999999998</v>
      </c>
      <c r="I39" s="56"/>
      <c r="J39" s="56">
        <f>19.23+62.15+1.82+66.85</f>
        <v>150.04999999999998</v>
      </c>
      <c r="K39" s="56">
        <f>H39+I39+J39</f>
        <v>360.38</v>
      </c>
      <c r="L39" s="56">
        <f>G39-K39</f>
        <v>2150.7299999999996</v>
      </c>
      <c r="M39" s="5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 x14ac:dyDescent="0.25">
      <c r="A40" s="8" t="s">
        <v>117</v>
      </c>
      <c r="B40" s="54"/>
      <c r="C40" s="54"/>
      <c r="D40" s="54"/>
      <c r="E40" s="66"/>
      <c r="F40" s="66"/>
      <c r="G40" s="66"/>
      <c r="H40" s="54"/>
      <c r="I40" s="54"/>
      <c r="J40" s="54"/>
      <c r="K40" s="54"/>
      <c r="L40" s="54"/>
      <c r="M40" s="5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 x14ac:dyDescent="0.25">
      <c r="A41" s="5" t="s">
        <v>100</v>
      </c>
      <c r="B41" s="54"/>
      <c r="C41" s="54"/>
      <c r="D41" s="54"/>
      <c r="E41" s="66"/>
      <c r="F41" s="66"/>
      <c r="G41" s="66"/>
      <c r="H41" s="54"/>
      <c r="I41" s="54"/>
      <c r="J41" s="54"/>
      <c r="K41" s="54"/>
      <c r="L41" s="54"/>
      <c r="M41" s="5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 x14ac:dyDescent="0.25">
      <c r="A42" s="51">
        <v>43479</v>
      </c>
      <c r="B42" s="56">
        <v>1923.41</v>
      </c>
      <c r="C42" s="56"/>
      <c r="D42" s="56"/>
      <c r="E42" s="69"/>
      <c r="F42" s="74"/>
      <c r="G42" s="69">
        <f>SUM(B42:F42)</f>
        <v>1923.41</v>
      </c>
      <c r="H42" s="56">
        <v>154.91999999999999</v>
      </c>
      <c r="I42" s="56"/>
      <c r="J42" s="56">
        <f>19.23+62.15+1.56+208.57</f>
        <v>291.51</v>
      </c>
      <c r="K42" s="56">
        <f>H42+I42+J42</f>
        <v>446.42999999999995</v>
      </c>
      <c r="L42" s="56">
        <f>G42-K42</f>
        <v>1476.98</v>
      </c>
      <c r="M42" s="5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 x14ac:dyDescent="0.25">
      <c r="A43" s="5" t="s">
        <v>119</v>
      </c>
      <c r="B43" s="54"/>
      <c r="C43" s="54"/>
      <c r="D43" s="54"/>
      <c r="E43" s="66"/>
      <c r="F43" s="66"/>
      <c r="G43" s="66"/>
      <c r="H43" s="54"/>
      <c r="I43" s="54"/>
      <c r="J43" s="54"/>
      <c r="K43" s="54"/>
      <c r="L43" s="54"/>
      <c r="M43" s="5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 x14ac:dyDescent="0.25">
      <c r="A44" s="51">
        <v>44341</v>
      </c>
      <c r="B44" s="56">
        <v>1797.58</v>
      </c>
      <c r="C44" s="56"/>
      <c r="D44" s="56"/>
      <c r="E44" s="69"/>
      <c r="F44" s="74"/>
      <c r="G44" s="69">
        <f>SUM(B44:F44)</f>
        <v>1797.58</v>
      </c>
      <c r="H44" s="56">
        <v>143.6</v>
      </c>
      <c r="I44" s="56"/>
      <c r="J44" s="56">
        <f>62.15+2.73+133.55</f>
        <v>198.43</v>
      </c>
      <c r="K44" s="56">
        <f>H44+I44+J44</f>
        <v>342.03</v>
      </c>
      <c r="L44" s="56">
        <f>G44-K44</f>
        <v>1455.55</v>
      </c>
      <c r="M44" s="5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5.75" customHeight="1" x14ac:dyDescent="0.25">
      <c r="A45" s="28" t="s">
        <v>120</v>
      </c>
      <c r="B45" s="235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5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.75" customHeight="1" x14ac:dyDescent="0.25">
      <c r="A46" s="8" t="s">
        <v>121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5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 customHeight="1" x14ac:dyDescent="0.25">
      <c r="A47" s="53" t="s">
        <v>122</v>
      </c>
      <c r="B47" s="58"/>
      <c r="C47" s="58"/>
      <c r="D47" s="58"/>
      <c r="E47" s="71"/>
      <c r="F47" s="71"/>
      <c r="G47" s="73"/>
      <c r="H47" s="83"/>
      <c r="I47" s="83"/>
      <c r="J47" s="83"/>
      <c r="K47" s="83"/>
      <c r="L47" s="83"/>
      <c r="M47" s="5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customHeight="1" x14ac:dyDescent="0.25">
      <c r="A48" s="50">
        <v>38054</v>
      </c>
      <c r="B48" s="55">
        <v>2886.52</v>
      </c>
      <c r="C48" s="55"/>
      <c r="D48" s="55">
        <v>57.73</v>
      </c>
      <c r="E48" s="67">
        <v>1282.48</v>
      </c>
      <c r="F48" s="67"/>
      <c r="G48" s="69">
        <f>SUM(B48:F48)</f>
        <v>4226.7299999999996</v>
      </c>
      <c r="H48" s="56">
        <v>427.91</v>
      </c>
      <c r="I48" s="56">
        <v>218.6</v>
      </c>
      <c r="J48" s="56">
        <f>62.15+2.73+126.81</f>
        <v>191.69</v>
      </c>
      <c r="K48" s="56">
        <f>H48+I48+J48</f>
        <v>838.2</v>
      </c>
      <c r="L48" s="56">
        <f>G48-K48</f>
        <v>3388.5299999999997</v>
      </c>
      <c r="M48" s="5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x14ac:dyDescent="0.25">
      <c r="A49" s="8" t="s">
        <v>123</v>
      </c>
      <c r="B49" s="58"/>
      <c r="C49" s="58"/>
      <c r="D49" s="58"/>
      <c r="E49" s="71"/>
      <c r="F49" s="71"/>
      <c r="G49" s="73"/>
      <c r="H49" s="83"/>
      <c r="I49" s="83"/>
      <c r="J49" s="83"/>
      <c r="K49" s="83"/>
      <c r="L49" s="83"/>
      <c r="M49" s="5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x14ac:dyDescent="0.25">
      <c r="A50" s="53" t="s">
        <v>108</v>
      </c>
      <c r="B50" s="58"/>
      <c r="C50" s="58"/>
      <c r="D50" s="58"/>
      <c r="E50" s="71"/>
      <c r="F50" s="71"/>
      <c r="G50" s="73"/>
      <c r="H50" s="83"/>
      <c r="I50" s="83"/>
      <c r="J50" s="83"/>
      <c r="K50" s="83"/>
      <c r="L50" s="83"/>
      <c r="M50" s="5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x14ac:dyDescent="0.25">
      <c r="A51" s="50">
        <v>44319</v>
      </c>
      <c r="B51" s="55">
        <v>1797.58</v>
      </c>
      <c r="C51" s="55"/>
      <c r="D51" s="55"/>
      <c r="E51" s="67"/>
      <c r="F51" s="67"/>
      <c r="G51" s="69">
        <f>SUM(B51:F51)</f>
        <v>1797.58</v>
      </c>
      <c r="H51" s="56">
        <v>143.6</v>
      </c>
      <c r="I51" s="56"/>
      <c r="J51" s="56">
        <f>62.15+2.6</f>
        <v>64.75</v>
      </c>
      <c r="K51" s="56">
        <f>H51+I51+J51</f>
        <v>208.35</v>
      </c>
      <c r="L51" s="56">
        <f>G51-K51</f>
        <v>1589.23</v>
      </c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x14ac:dyDescent="0.25">
      <c r="A52" s="8" t="s">
        <v>124</v>
      </c>
      <c r="B52" s="58"/>
      <c r="C52" s="58"/>
      <c r="D52" s="58"/>
      <c r="E52" s="71"/>
      <c r="F52" s="71"/>
      <c r="G52" s="73"/>
      <c r="H52" s="83"/>
      <c r="I52" s="83"/>
      <c r="J52" s="83"/>
      <c r="K52" s="83"/>
      <c r="L52" s="83"/>
      <c r="M52" s="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x14ac:dyDescent="0.25">
      <c r="A53" s="53" t="s">
        <v>116</v>
      </c>
      <c r="B53" s="58"/>
      <c r="C53" s="58"/>
      <c r="D53" s="58"/>
      <c r="E53" s="71"/>
      <c r="F53" s="71"/>
      <c r="G53" s="73"/>
      <c r="H53" s="83"/>
      <c r="I53" s="83"/>
      <c r="J53" s="83"/>
      <c r="K53" s="83"/>
      <c r="L53" s="83"/>
      <c r="M53" s="5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50">
        <v>43845</v>
      </c>
      <c r="B54" s="55">
        <v>1282.27</v>
      </c>
      <c r="C54" s="55">
        <f>854.85</f>
        <v>854.85</v>
      </c>
      <c r="D54" s="55"/>
      <c r="E54" s="67"/>
      <c r="F54" s="67">
        <v>961.71</v>
      </c>
      <c r="G54" s="69">
        <f>SUM(B54:F54)</f>
        <v>3098.83</v>
      </c>
      <c r="H54" s="56">
        <f>110.05+64.11</f>
        <v>174.16</v>
      </c>
      <c r="I54" s="56"/>
      <c r="J54" s="56">
        <f>19.23+62.15+1.43+298.71</f>
        <v>381.52</v>
      </c>
      <c r="K54" s="56">
        <f>H54+I54+J54</f>
        <v>555.67999999999995</v>
      </c>
      <c r="L54" s="56">
        <f>G54-K54</f>
        <v>2543.15</v>
      </c>
      <c r="M54" s="5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" customHeight="1" x14ac:dyDescent="0.2">
      <c r="L55" s="100"/>
    </row>
    <row r="56" spans="1:32" ht="15.75" customHeight="1" x14ac:dyDescent="0.25">
      <c r="A56" s="82"/>
      <c r="B56" s="58"/>
      <c r="C56" s="58"/>
      <c r="D56" s="58"/>
      <c r="E56" s="71"/>
      <c r="F56" s="71"/>
      <c r="G56" s="73"/>
      <c r="H56" s="83"/>
      <c r="I56" s="83"/>
      <c r="J56" s="83"/>
      <c r="K56" s="83"/>
      <c r="L56" s="83"/>
      <c r="M56" s="5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 customHeight="1" x14ac:dyDescent="0.25">
      <c r="A57" s="82"/>
      <c r="B57" s="58"/>
      <c r="C57" s="58"/>
      <c r="D57" s="58"/>
      <c r="E57" s="71"/>
      <c r="F57" s="71"/>
      <c r="G57" s="73"/>
      <c r="H57" s="83"/>
      <c r="I57" s="83"/>
      <c r="J57" s="83"/>
      <c r="K57" s="83"/>
      <c r="L57" s="83"/>
      <c r="M57" s="5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 customHeight="1" x14ac:dyDescent="0.25">
      <c r="M58" s="5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.75" customHeight="1" x14ac:dyDescent="0.25">
      <c r="A59" s="238" t="s">
        <v>90</v>
      </c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5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customHeight="1" x14ac:dyDescent="0.25">
      <c r="A60" s="88" t="s">
        <v>157</v>
      </c>
      <c r="B60" s="89">
        <v>2022</v>
      </c>
      <c r="C60" s="90"/>
      <c r="D60" s="90"/>
      <c r="E60" s="65"/>
      <c r="F60" s="65"/>
      <c r="G60" s="65"/>
      <c r="H60" s="90"/>
      <c r="I60" s="90"/>
      <c r="J60" s="90"/>
      <c r="K60" s="90"/>
      <c r="L60" s="90"/>
      <c r="M60" s="5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 customHeight="1" x14ac:dyDescent="0.25">
      <c r="A61" s="91" t="s">
        <v>2</v>
      </c>
      <c r="B61" s="231" t="s">
        <v>3</v>
      </c>
      <c r="C61" s="231" t="s">
        <v>92</v>
      </c>
      <c r="D61" s="228" t="s">
        <v>93</v>
      </c>
      <c r="E61" s="241" t="s">
        <v>8</v>
      </c>
      <c r="F61" s="244" t="s">
        <v>94</v>
      </c>
      <c r="G61" s="244" t="s">
        <v>9</v>
      </c>
      <c r="H61" s="231" t="s">
        <v>11</v>
      </c>
      <c r="I61" s="231" t="s">
        <v>95</v>
      </c>
      <c r="J61" s="228" t="s">
        <v>12</v>
      </c>
      <c r="K61" s="228" t="s">
        <v>13</v>
      </c>
      <c r="L61" s="228" t="s">
        <v>14</v>
      </c>
      <c r="M61" s="5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 customHeight="1" x14ac:dyDescent="0.25">
      <c r="A62" s="90" t="s">
        <v>15</v>
      </c>
      <c r="B62" s="229"/>
      <c r="C62" s="229"/>
      <c r="D62" s="229"/>
      <c r="E62" s="242"/>
      <c r="F62" s="229"/>
      <c r="G62" s="229"/>
      <c r="H62" s="229"/>
      <c r="I62" s="229"/>
      <c r="J62" s="229"/>
      <c r="K62" s="229"/>
      <c r="L62" s="229"/>
      <c r="M62" s="5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A63" s="92" t="s">
        <v>16</v>
      </c>
      <c r="B63" s="237"/>
      <c r="C63" s="237"/>
      <c r="D63" s="237"/>
      <c r="E63" s="243"/>
      <c r="F63" s="237"/>
      <c r="G63" s="237"/>
      <c r="H63" s="237"/>
      <c r="I63" s="237"/>
      <c r="J63" s="237"/>
      <c r="K63" s="237"/>
      <c r="L63" s="237"/>
      <c r="M63" s="5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25">
      <c r="A64" s="2" t="s">
        <v>120</v>
      </c>
      <c r="B64" s="235"/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x14ac:dyDescent="0.25">
      <c r="A65" s="8" t="s">
        <v>125</v>
      </c>
      <c r="B65" s="58"/>
      <c r="C65" s="58"/>
      <c r="D65" s="58"/>
      <c r="E65" s="71"/>
      <c r="F65" s="71"/>
      <c r="G65" s="73"/>
      <c r="H65" s="83"/>
      <c r="I65" s="83"/>
      <c r="J65" s="83"/>
      <c r="K65" s="83"/>
      <c r="L65" s="83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A66" s="53" t="s">
        <v>126</v>
      </c>
      <c r="B66" s="58"/>
      <c r="C66" s="58"/>
      <c r="D66" s="58"/>
      <c r="E66" s="71"/>
      <c r="F66" s="71"/>
      <c r="G66" s="73"/>
      <c r="H66" s="83"/>
      <c r="I66" s="83"/>
      <c r="J66" s="83"/>
      <c r="K66" s="83"/>
      <c r="L66" s="83"/>
      <c r="M66" s="5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25">
      <c r="A67" s="50">
        <v>39783</v>
      </c>
      <c r="B67" s="55">
        <v>2886.52</v>
      </c>
      <c r="C67" s="55"/>
      <c r="D67" s="55">
        <v>57.73</v>
      </c>
      <c r="E67" s="67">
        <v>1298.93</v>
      </c>
      <c r="F67" s="67"/>
      <c r="G67" s="69">
        <f>SUM(B67:F67)</f>
        <v>4243.18</v>
      </c>
      <c r="H67" s="56">
        <v>430.22</v>
      </c>
      <c r="I67" s="56">
        <v>221.79</v>
      </c>
      <c r="J67" s="56">
        <f>62.15+2.73+458.8+80.13</f>
        <v>603.81000000000006</v>
      </c>
      <c r="K67" s="56">
        <f>H67+I67+J67</f>
        <v>1255.8200000000002</v>
      </c>
      <c r="L67" s="56">
        <f>G67-K67</f>
        <v>2987.36</v>
      </c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x14ac:dyDescent="0.25">
      <c r="A68" s="3" t="s">
        <v>127</v>
      </c>
      <c r="B68" s="57"/>
      <c r="C68" s="60"/>
      <c r="D68" s="60"/>
      <c r="E68" s="76"/>
      <c r="F68" s="77"/>
      <c r="G68" s="78"/>
      <c r="H68" s="61"/>
      <c r="I68" s="61"/>
      <c r="J68" s="61"/>
      <c r="K68" s="61"/>
      <c r="L68" s="61"/>
      <c r="M68" s="5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5" t="s">
        <v>116</v>
      </c>
      <c r="B69" s="57"/>
      <c r="C69" s="60"/>
      <c r="D69" s="60"/>
      <c r="E69" s="76"/>
      <c r="F69" s="77"/>
      <c r="G69" s="78"/>
      <c r="H69" s="61"/>
      <c r="I69" s="61"/>
      <c r="J69" s="61"/>
      <c r="K69" s="61"/>
      <c r="L69" s="61"/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25">
      <c r="A70" s="50">
        <v>43325</v>
      </c>
      <c r="B70" s="55">
        <v>1859.3</v>
      </c>
      <c r="C70" s="55"/>
      <c r="D70" s="55"/>
      <c r="E70" s="67">
        <v>288.51</v>
      </c>
      <c r="F70" s="67"/>
      <c r="G70" s="69">
        <f>SUM(B70:F70)</f>
        <v>2147.81</v>
      </c>
      <c r="H70" s="56">
        <v>176.99</v>
      </c>
      <c r="I70" s="56"/>
      <c r="J70" s="56">
        <f>62.15+1.69+66.85+26.71</f>
        <v>157.4</v>
      </c>
      <c r="K70" s="56">
        <f>H70+I70+J70</f>
        <v>334.39</v>
      </c>
      <c r="L70" s="56">
        <f>G70-K70</f>
        <v>1813.42</v>
      </c>
      <c r="M70" s="5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25">
      <c r="A71" s="3" t="s">
        <v>155</v>
      </c>
      <c r="B71" s="57"/>
      <c r="C71" s="60"/>
      <c r="D71" s="60"/>
      <c r="E71" s="76"/>
      <c r="F71" s="77"/>
      <c r="G71" s="78"/>
      <c r="H71" s="61"/>
      <c r="I71" s="61"/>
      <c r="J71" s="61"/>
      <c r="K71" s="61"/>
      <c r="L71" s="61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x14ac:dyDescent="0.25">
      <c r="A72" s="5" t="s">
        <v>156</v>
      </c>
      <c r="B72" s="57"/>
      <c r="C72" s="60"/>
      <c r="D72" s="60"/>
      <c r="E72" s="76"/>
      <c r="F72" s="77"/>
      <c r="G72" s="78"/>
      <c r="H72" s="61"/>
      <c r="I72" s="61"/>
      <c r="J72" s="61"/>
      <c r="K72" s="61"/>
      <c r="L72" s="61"/>
      <c r="M72" s="5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x14ac:dyDescent="0.25">
      <c r="A73" s="50">
        <v>44686</v>
      </c>
      <c r="B73" s="55">
        <v>1797.58</v>
      </c>
      <c r="C73" s="55"/>
      <c r="D73" s="55"/>
      <c r="E73" s="67"/>
      <c r="F73" s="67"/>
      <c r="G73" s="69">
        <f>SUM(B73:F73)</f>
        <v>1797.58</v>
      </c>
      <c r="H73" s="56">
        <v>143.6</v>
      </c>
      <c r="I73" s="56"/>
      <c r="J73" s="56">
        <f>116.01+2.73</f>
        <v>118.74000000000001</v>
      </c>
      <c r="K73" s="56">
        <f>H73+I73+J73</f>
        <v>262.34000000000003</v>
      </c>
      <c r="L73" s="56">
        <f>G73-K73</f>
        <v>1535.2399999999998</v>
      </c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25">
      <c r="A74" s="8" t="s">
        <v>128</v>
      </c>
      <c r="B74" s="57"/>
      <c r="C74" s="57"/>
      <c r="D74" s="57"/>
      <c r="E74" s="70"/>
      <c r="F74" s="70"/>
      <c r="G74" s="66"/>
      <c r="H74" s="54"/>
      <c r="I74" s="54"/>
      <c r="J74" s="54"/>
      <c r="K74" s="54"/>
      <c r="L74" s="54"/>
      <c r="M74" s="5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x14ac:dyDescent="0.25">
      <c r="A75" s="10" t="s">
        <v>116</v>
      </c>
      <c r="B75" s="57"/>
      <c r="C75" s="57"/>
      <c r="D75" s="57"/>
      <c r="E75" s="70"/>
      <c r="F75" s="70"/>
      <c r="G75" s="66"/>
      <c r="H75" s="54"/>
      <c r="I75" s="54"/>
      <c r="J75" s="54"/>
      <c r="K75" s="54"/>
      <c r="L75" s="54"/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x14ac:dyDescent="0.25">
      <c r="A76" s="6">
        <v>43325</v>
      </c>
      <c r="B76" s="55">
        <v>1282.27</v>
      </c>
      <c r="C76" s="55">
        <v>1239.53</v>
      </c>
      <c r="D76" s="55"/>
      <c r="E76" s="67">
        <v>577.02</v>
      </c>
      <c r="F76" s="68"/>
      <c r="G76" s="69">
        <f>SUM(B76:F76)</f>
        <v>3098.82</v>
      </c>
      <c r="H76" s="56">
        <f>187.48+93.37</f>
        <v>280.85000000000002</v>
      </c>
      <c r="I76" s="56"/>
      <c r="J76" s="56">
        <f>19.23+62.15+1.69+183.44</f>
        <v>266.51</v>
      </c>
      <c r="K76" s="56">
        <f>H76+I76+J76</f>
        <v>547.36</v>
      </c>
      <c r="L76" s="56">
        <f>G76-K76</f>
        <v>2551.46</v>
      </c>
      <c r="M76" s="5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25">
      <c r="A77" s="28" t="s">
        <v>129</v>
      </c>
      <c r="B77" s="235"/>
      <c r="C77" s="236"/>
      <c r="D77" s="236"/>
      <c r="E77" s="236"/>
      <c r="F77" s="236"/>
      <c r="G77" s="236"/>
      <c r="H77" s="236"/>
      <c r="I77" s="236"/>
      <c r="J77" s="236"/>
      <c r="K77" s="236"/>
      <c r="L77" s="236"/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x14ac:dyDescent="0.25">
      <c r="A78" s="3" t="s">
        <v>130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5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x14ac:dyDescent="0.25">
      <c r="A79" s="5" t="s">
        <v>131</v>
      </c>
      <c r="B79" s="57"/>
      <c r="C79" s="60"/>
      <c r="D79" s="60"/>
      <c r="E79" s="76"/>
      <c r="F79" s="77"/>
      <c r="G79" s="78"/>
      <c r="H79" s="61"/>
      <c r="I79" s="61"/>
      <c r="J79" s="61"/>
      <c r="K79" s="61"/>
      <c r="L79" s="61"/>
      <c r="M79" s="5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 x14ac:dyDescent="0.25">
      <c r="A80" s="50">
        <v>44509</v>
      </c>
      <c r="B80" s="55">
        <v>2663.52</v>
      </c>
      <c r="C80" s="55"/>
      <c r="D80" s="55"/>
      <c r="E80" s="67"/>
      <c r="F80" s="67"/>
      <c r="G80" s="69">
        <f>SUM(B80:F80)</f>
        <v>2663.52</v>
      </c>
      <c r="H80" s="56">
        <v>228.62</v>
      </c>
      <c r="I80" s="56">
        <v>39.82</v>
      </c>
      <c r="J80" s="56">
        <f>26.64+62.15+2.08</f>
        <v>90.86999999999999</v>
      </c>
      <c r="K80" s="56">
        <f>H80+I80+J80</f>
        <v>359.31</v>
      </c>
      <c r="L80" s="56">
        <f>G80-K80</f>
        <v>2304.21</v>
      </c>
      <c r="M80" s="5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x14ac:dyDescent="0.25">
      <c r="A81" s="8" t="s">
        <v>132</v>
      </c>
      <c r="B81" s="12"/>
      <c r="C81" s="12"/>
      <c r="D81" s="12"/>
      <c r="E81" s="12"/>
      <c r="F81" s="12"/>
      <c r="G81" s="23"/>
      <c r="H81" s="23"/>
      <c r="I81" s="23"/>
      <c r="J81" s="23"/>
      <c r="K81" s="23"/>
      <c r="L81" s="23"/>
      <c r="M81" s="5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x14ac:dyDescent="0.25">
      <c r="A82" s="5" t="s">
        <v>133</v>
      </c>
      <c r="B82" s="57"/>
      <c r="C82" s="57"/>
      <c r="D82" s="57"/>
      <c r="E82" s="70"/>
      <c r="F82" s="70"/>
      <c r="G82" s="66"/>
      <c r="H82" s="54"/>
      <c r="I82" s="54"/>
      <c r="J82" s="54"/>
      <c r="K82" s="54"/>
      <c r="L82" s="54"/>
      <c r="M82" s="52"/>
      <c r="N82" s="1"/>
      <c r="O82" s="1"/>
      <c r="P82" s="34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6.5" customHeight="1" x14ac:dyDescent="0.25">
      <c r="A83" s="6">
        <v>43325</v>
      </c>
      <c r="B83" s="55">
        <v>1804.97</v>
      </c>
      <c r="C83" s="55">
        <v>1899.97</v>
      </c>
      <c r="D83" s="55"/>
      <c r="E83" s="67">
        <v>812.24</v>
      </c>
      <c r="F83" s="68"/>
      <c r="G83" s="69">
        <f>SUM(B83:F83)</f>
        <v>4517.18</v>
      </c>
      <c r="H83" s="56">
        <f>290.43+145.21</f>
        <v>435.64</v>
      </c>
      <c r="I83" s="56"/>
      <c r="J83" s="56">
        <f>28.5+62.15+1.56+26.71</f>
        <v>118.92000000000002</v>
      </c>
      <c r="K83" s="56">
        <f>H83+I83+J83</f>
        <v>554.55999999999995</v>
      </c>
      <c r="L83" s="56">
        <f>G83-K83</f>
        <v>3962.6200000000003</v>
      </c>
      <c r="M83" s="5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 x14ac:dyDescent="0.25">
      <c r="A84" s="28" t="s">
        <v>134</v>
      </c>
      <c r="B84" s="235"/>
      <c r="C84" s="236"/>
      <c r="D84" s="236"/>
      <c r="E84" s="236"/>
      <c r="F84" s="236"/>
      <c r="G84" s="236"/>
      <c r="H84" s="236"/>
      <c r="I84" s="236"/>
      <c r="J84" s="236"/>
      <c r="K84" s="236"/>
      <c r="L84" s="236"/>
      <c r="M84" s="5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 x14ac:dyDescent="0.25">
      <c r="A85" s="8" t="s">
        <v>135</v>
      </c>
      <c r="B85" s="12"/>
      <c r="C85" s="12"/>
      <c r="D85" s="12"/>
      <c r="E85" s="12"/>
      <c r="F85" s="12"/>
      <c r="G85" s="23"/>
      <c r="H85" s="23"/>
      <c r="I85" s="23"/>
      <c r="J85" s="23"/>
      <c r="K85" s="23"/>
      <c r="L85" s="23"/>
      <c r="M85" s="5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x14ac:dyDescent="0.25">
      <c r="A86" s="5" t="s">
        <v>136</v>
      </c>
      <c r="B86" s="57"/>
      <c r="C86" s="57"/>
      <c r="D86" s="57"/>
      <c r="E86" s="70"/>
      <c r="F86" s="70"/>
      <c r="G86" s="66"/>
      <c r="H86" s="54"/>
      <c r="I86" s="54"/>
      <c r="J86" s="54"/>
      <c r="K86" s="54"/>
      <c r="L86" s="54"/>
      <c r="M86" s="52"/>
      <c r="N86" s="1"/>
      <c r="O86" s="1"/>
      <c r="P86" s="34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6.5" customHeight="1" x14ac:dyDescent="0.25">
      <c r="A87" s="6">
        <v>43675</v>
      </c>
      <c r="B87" s="55">
        <v>2374.9699999999998</v>
      </c>
      <c r="C87" s="55">
        <f>633.32</f>
        <v>633.32000000000005</v>
      </c>
      <c r="D87" s="55"/>
      <c r="E87" s="67"/>
      <c r="F87" s="68">
        <v>1424.98</v>
      </c>
      <c r="G87" s="69">
        <f>SUM(B87:F87)</f>
        <v>4433.2700000000004</v>
      </c>
      <c r="H87" s="56">
        <f>222.5+47.49</f>
        <v>269.99</v>
      </c>
      <c r="I87" s="56">
        <v>18.64</v>
      </c>
      <c r="J87" s="56">
        <f>62.15+1.17+101.47</f>
        <v>164.79</v>
      </c>
      <c r="K87" s="56">
        <f>H87+I87+J87</f>
        <v>453.41999999999996</v>
      </c>
      <c r="L87" s="56">
        <f>G87-K87</f>
        <v>3979.8500000000004</v>
      </c>
      <c r="M87" s="5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 x14ac:dyDescent="0.25">
      <c r="A88" s="28" t="s">
        <v>137</v>
      </c>
      <c r="B88" s="235"/>
      <c r="C88" s="236"/>
      <c r="D88" s="236"/>
      <c r="E88" s="236"/>
      <c r="F88" s="236"/>
      <c r="G88" s="236"/>
      <c r="H88" s="236"/>
      <c r="I88" s="236"/>
      <c r="J88" s="236"/>
      <c r="K88" s="236"/>
      <c r="L88" s="236"/>
      <c r="M88" s="5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x14ac:dyDescent="0.25">
      <c r="A89" s="8" t="s">
        <v>138</v>
      </c>
      <c r="B89" s="12"/>
      <c r="C89" s="12"/>
      <c r="D89" s="12"/>
      <c r="E89" s="12"/>
      <c r="F89" s="12"/>
      <c r="G89" s="23"/>
      <c r="H89" s="23"/>
      <c r="I89" s="23"/>
      <c r="J89" s="23"/>
      <c r="K89" s="23"/>
      <c r="L89" s="23"/>
      <c r="M89" s="5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x14ac:dyDescent="0.25">
      <c r="A90" s="5" t="s">
        <v>131</v>
      </c>
      <c r="B90" s="57"/>
      <c r="C90" s="57"/>
      <c r="D90" s="57"/>
      <c r="E90" s="70"/>
      <c r="F90" s="70"/>
      <c r="G90" s="66"/>
      <c r="H90" s="54"/>
      <c r="I90" s="54"/>
      <c r="J90" s="54"/>
      <c r="K90" s="54"/>
      <c r="L90" s="54"/>
      <c r="M90" s="52"/>
      <c r="N90" s="1"/>
      <c r="O90" s="1"/>
      <c r="P90" s="34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6.5" customHeight="1" x14ac:dyDescent="0.25">
      <c r="A91" s="6">
        <v>44516</v>
      </c>
      <c r="B91" s="55">
        <v>2663.52</v>
      </c>
      <c r="C91" s="55"/>
      <c r="D91" s="55"/>
      <c r="E91" s="67"/>
      <c r="F91" s="68"/>
      <c r="G91" s="69">
        <f>SUM(B91:F91)</f>
        <v>2663.52</v>
      </c>
      <c r="H91" s="56">
        <v>228.62</v>
      </c>
      <c r="I91" s="56">
        <v>25.6</v>
      </c>
      <c r="J91" s="56">
        <f>62.15+2.6</f>
        <v>64.75</v>
      </c>
      <c r="K91" s="56">
        <f>H91+I91+J91</f>
        <v>318.97000000000003</v>
      </c>
      <c r="L91" s="56">
        <f>G91-K91</f>
        <v>2344.5500000000002</v>
      </c>
      <c r="M91" s="5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customHeight="1" x14ac:dyDescent="0.25">
      <c r="A92" s="8" t="s">
        <v>158</v>
      </c>
      <c r="B92" s="12"/>
      <c r="C92" s="12"/>
      <c r="D92" s="12"/>
      <c r="E92" s="12"/>
      <c r="F92" s="12"/>
      <c r="G92" s="23"/>
      <c r="H92" s="23"/>
      <c r="I92" s="23"/>
      <c r="J92" s="23"/>
      <c r="K92" s="23"/>
      <c r="L92" s="23"/>
      <c r="M92" s="5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x14ac:dyDescent="0.25">
      <c r="A93" s="5" t="s">
        <v>131</v>
      </c>
      <c r="B93" s="57"/>
      <c r="C93" s="57"/>
      <c r="D93" s="57"/>
      <c r="E93" s="70"/>
      <c r="F93" s="70"/>
      <c r="G93" s="66"/>
      <c r="H93" s="54"/>
      <c r="I93" s="54"/>
      <c r="J93" s="54"/>
      <c r="K93" s="54"/>
      <c r="L93" s="54"/>
      <c r="M93" s="52"/>
      <c r="N93" s="1"/>
      <c r="O93" s="1"/>
      <c r="P93" s="34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6.5" customHeight="1" x14ac:dyDescent="0.25">
      <c r="A94" s="6">
        <v>44739</v>
      </c>
      <c r="B94" s="55">
        <v>355.14</v>
      </c>
      <c r="C94" s="55"/>
      <c r="D94" s="55"/>
      <c r="E94" s="67"/>
      <c r="F94" s="68"/>
      <c r="G94" s="69">
        <f>SUM(B94:F94)</f>
        <v>355.14</v>
      </c>
      <c r="H94" s="56">
        <v>26.63</v>
      </c>
      <c r="I94" s="56"/>
      <c r="J94" s="56"/>
      <c r="K94" s="56">
        <f>SUM(H94:J94)</f>
        <v>26.63</v>
      </c>
      <c r="L94" s="56">
        <f>G94-K94</f>
        <v>328.51</v>
      </c>
      <c r="M94" s="5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x14ac:dyDescent="0.25">
      <c r="A95" s="28" t="s">
        <v>141</v>
      </c>
      <c r="B95" s="235"/>
      <c r="C95" s="236"/>
      <c r="D95" s="236"/>
      <c r="E95" s="236"/>
      <c r="F95" s="236"/>
      <c r="G95" s="236"/>
      <c r="H95" s="236"/>
      <c r="I95" s="236"/>
      <c r="J95" s="236"/>
      <c r="K95" s="236"/>
      <c r="L95" s="236"/>
      <c r="M95" s="5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 x14ac:dyDescent="0.25">
      <c r="A96" s="8" t="s">
        <v>142</v>
      </c>
      <c r="B96" s="57"/>
      <c r="C96" s="57"/>
      <c r="D96" s="57"/>
      <c r="E96" s="70"/>
      <c r="F96" s="79"/>
      <c r="G96" s="66"/>
      <c r="H96" s="54"/>
      <c r="I96" s="54"/>
      <c r="J96" s="54"/>
      <c r="K96" s="54"/>
      <c r="L96" s="54"/>
      <c r="M96" s="5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x14ac:dyDescent="0.25">
      <c r="A97" s="10" t="s">
        <v>131</v>
      </c>
      <c r="B97" s="57"/>
      <c r="C97" s="57"/>
      <c r="D97" s="57"/>
      <c r="E97" s="70"/>
      <c r="F97" s="79"/>
      <c r="G97" s="66"/>
      <c r="H97" s="54"/>
      <c r="I97" s="54"/>
      <c r="J97" s="54"/>
      <c r="K97" s="54"/>
      <c r="L97" s="54"/>
      <c r="M97" s="5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x14ac:dyDescent="0.25">
      <c r="A98" s="6">
        <v>44249</v>
      </c>
      <c r="B98" s="55">
        <v>2663.52</v>
      </c>
      <c r="C98" s="55"/>
      <c r="D98" s="55"/>
      <c r="E98" s="67"/>
      <c r="F98" s="68"/>
      <c r="G98" s="69">
        <f>SUM(B98:F98)</f>
        <v>2663.52</v>
      </c>
      <c r="H98" s="56">
        <v>228.62</v>
      </c>
      <c r="I98" s="56">
        <v>39.82</v>
      </c>
      <c r="J98" s="56">
        <f>62.15+1.95</f>
        <v>64.099999999999994</v>
      </c>
      <c r="K98" s="56">
        <f>H98+I98+J98</f>
        <v>332.53999999999996</v>
      </c>
      <c r="L98" s="56">
        <f>G98-K98</f>
        <v>2330.98</v>
      </c>
      <c r="M98" s="5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25">
      <c r="A99" s="28" t="s">
        <v>147</v>
      </c>
      <c r="B99" s="235"/>
      <c r="C99" s="236"/>
      <c r="D99" s="236"/>
      <c r="E99" s="236"/>
      <c r="F99" s="236"/>
      <c r="G99" s="236"/>
      <c r="H99" s="236"/>
      <c r="I99" s="236"/>
      <c r="J99" s="236"/>
      <c r="K99" s="236"/>
      <c r="L99" s="236"/>
      <c r="M99" s="5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x14ac:dyDescent="0.25">
      <c r="A100" s="102"/>
      <c r="B100" s="93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5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x14ac:dyDescent="0.25">
      <c r="A101" s="102"/>
      <c r="B101" s="93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5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x14ac:dyDescent="0.25">
      <c r="A102" s="102"/>
      <c r="B102" s="93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5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 x14ac:dyDescent="0.25">
      <c r="A103" s="238" t="s">
        <v>90</v>
      </c>
      <c r="B103" s="229"/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  <c r="M103" s="5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 x14ac:dyDescent="0.25">
      <c r="A104" s="94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5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 x14ac:dyDescent="0.25">
      <c r="A105" s="88" t="s">
        <v>157</v>
      </c>
      <c r="B105" s="89">
        <v>2022</v>
      </c>
      <c r="C105" s="90"/>
      <c r="D105" s="247" t="s">
        <v>53</v>
      </c>
      <c r="E105" s="247"/>
      <c r="F105" s="247"/>
      <c r="G105" s="247"/>
      <c r="H105" s="247"/>
      <c r="I105" s="90"/>
      <c r="J105" s="90"/>
      <c r="K105" s="90"/>
      <c r="L105" s="90"/>
      <c r="M105" s="5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 x14ac:dyDescent="0.25">
      <c r="A106" s="91" t="s">
        <v>2</v>
      </c>
      <c r="B106" s="231" t="s">
        <v>3</v>
      </c>
      <c r="C106" s="231" t="s">
        <v>92</v>
      </c>
      <c r="D106" s="228" t="s">
        <v>93</v>
      </c>
      <c r="E106" s="241" t="s">
        <v>8</v>
      </c>
      <c r="F106" s="244" t="s">
        <v>94</v>
      </c>
      <c r="G106" s="244" t="s">
        <v>9</v>
      </c>
      <c r="H106" s="231" t="s">
        <v>11</v>
      </c>
      <c r="I106" s="231" t="s">
        <v>95</v>
      </c>
      <c r="J106" s="228" t="s">
        <v>12</v>
      </c>
      <c r="K106" s="228" t="s">
        <v>13</v>
      </c>
      <c r="L106" s="228" t="s">
        <v>14</v>
      </c>
      <c r="M106" s="52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customHeight="1" x14ac:dyDescent="0.25">
      <c r="A107" s="90" t="s">
        <v>15</v>
      </c>
      <c r="B107" s="229"/>
      <c r="C107" s="229"/>
      <c r="D107" s="229"/>
      <c r="E107" s="242"/>
      <c r="F107" s="229"/>
      <c r="G107" s="229"/>
      <c r="H107" s="229"/>
      <c r="I107" s="229"/>
      <c r="J107" s="229"/>
      <c r="K107" s="229"/>
      <c r="L107" s="229"/>
      <c r="M107" s="52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.75" customHeight="1" x14ac:dyDescent="0.25">
      <c r="A108" s="92" t="s">
        <v>16</v>
      </c>
      <c r="B108" s="237"/>
      <c r="C108" s="237"/>
      <c r="D108" s="237"/>
      <c r="E108" s="243"/>
      <c r="F108" s="237"/>
      <c r="G108" s="237"/>
      <c r="H108" s="237"/>
      <c r="I108" s="237"/>
      <c r="J108" s="237"/>
      <c r="K108" s="237"/>
      <c r="L108" s="237"/>
      <c r="M108" s="5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.75" customHeight="1" x14ac:dyDescent="0.25">
      <c r="A109" s="8" t="s">
        <v>140</v>
      </c>
      <c r="B109" s="57"/>
      <c r="C109" s="57"/>
      <c r="D109" s="57"/>
      <c r="E109" s="70"/>
      <c r="F109" s="79"/>
      <c r="G109" s="66"/>
      <c r="H109" s="54"/>
      <c r="I109" s="54"/>
      <c r="J109" s="54"/>
      <c r="K109" s="54"/>
      <c r="L109" s="54"/>
      <c r="M109" s="52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5.75" customHeight="1" x14ac:dyDescent="0.25">
      <c r="A110" s="10" t="s">
        <v>131</v>
      </c>
      <c r="B110" s="57"/>
      <c r="C110" s="57"/>
      <c r="D110" s="57"/>
      <c r="E110" s="70"/>
      <c r="F110" s="79"/>
      <c r="G110" s="66"/>
      <c r="H110" s="54"/>
      <c r="I110" s="54"/>
      <c r="J110" s="54"/>
      <c r="K110" s="54"/>
      <c r="L110" s="54"/>
      <c r="M110" s="52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5.75" customHeight="1" x14ac:dyDescent="0.25">
      <c r="A111" s="6">
        <v>44249</v>
      </c>
      <c r="B111" s="55">
        <f>2663.52+82.24+16.45</f>
        <v>2762.2099999999996</v>
      </c>
      <c r="C111" s="55">
        <f>1335.88+887.84+741.24</f>
        <v>2964.96</v>
      </c>
      <c r="D111" s="55"/>
      <c r="E111" s="67"/>
      <c r="F111" s="68">
        <v>1335.88</v>
      </c>
      <c r="G111" s="69">
        <f>SUM(B111:F111)</f>
        <v>7063.05</v>
      </c>
      <c r="H111" s="56">
        <f>102.04+240.46</f>
        <v>342.5</v>
      </c>
      <c r="I111" s="56">
        <v>17.89</v>
      </c>
      <c r="J111" s="56">
        <f>1305.15+26.71+265.4+157.95</f>
        <v>1755.2100000000003</v>
      </c>
      <c r="K111" s="56">
        <f>H111+I111+J111</f>
        <v>2115.6000000000004</v>
      </c>
      <c r="L111" s="56">
        <f>G111-K111</f>
        <v>4947.45</v>
      </c>
      <c r="M111" s="52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5.75" customHeight="1" x14ac:dyDescent="0.25">
      <c r="A112" s="1"/>
      <c r="B112" s="60"/>
      <c r="C112" s="60"/>
      <c r="D112" s="60"/>
      <c r="E112" s="76"/>
      <c r="F112" s="76"/>
      <c r="G112" s="76"/>
      <c r="H112" s="60"/>
      <c r="I112" s="60"/>
      <c r="J112" s="60"/>
      <c r="K112" s="60"/>
      <c r="L112" s="60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.75" customHeight="1" x14ac:dyDescent="0.25">
      <c r="A113" s="1"/>
      <c r="B113" s="60"/>
      <c r="C113" s="60"/>
      <c r="D113" s="60"/>
      <c r="E113" s="76"/>
      <c r="F113" s="76"/>
      <c r="G113" s="76"/>
      <c r="H113" s="60"/>
      <c r="I113" s="60"/>
      <c r="J113" s="60"/>
      <c r="K113" s="60"/>
      <c r="L113" s="6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.75" customHeight="1" x14ac:dyDescent="0.25">
      <c r="A114" s="1"/>
      <c r="B114" s="60"/>
      <c r="C114" s="60"/>
      <c r="D114" s="60"/>
      <c r="E114" s="76"/>
      <c r="F114" s="76"/>
      <c r="G114" s="76"/>
      <c r="H114" s="60"/>
      <c r="I114" s="60"/>
      <c r="J114" s="60"/>
      <c r="K114" s="60"/>
      <c r="L114" s="6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.75" customHeight="1" x14ac:dyDescent="0.25">
      <c r="A115" s="1"/>
      <c r="B115" s="60"/>
      <c r="C115" s="60"/>
      <c r="D115" s="60"/>
      <c r="E115" s="76"/>
      <c r="F115" s="76"/>
      <c r="G115" s="76"/>
      <c r="H115" s="60"/>
      <c r="I115" s="60"/>
      <c r="J115" s="60"/>
      <c r="K115" s="60"/>
      <c r="L115" s="6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 x14ac:dyDescent="0.25">
      <c r="A116" s="1"/>
      <c r="B116" s="60"/>
      <c r="C116" s="60"/>
      <c r="D116" s="60"/>
      <c r="E116" s="76"/>
      <c r="F116" s="76"/>
      <c r="G116" s="76"/>
      <c r="H116" s="60"/>
      <c r="I116" s="60"/>
      <c r="J116" s="60"/>
      <c r="K116" s="60"/>
      <c r="L116" s="60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 x14ac:dyDescent="0.25">
      <c r="A117" s="1"/>
      <c r="B117" s="60"/>
      <c r="C117" s="60"/>
      <c r="D117" s="60"/>
      <c r="E117" s="76"/>
      <c r="F117" s="76"/>
      <c r="G117" s="76"/>
      <c r="H117" s="60"/>
      <c r="I117" s="60"/>
      <c r="J117" s="60"/>
      <c r="K117" s="60"/>
      <c r="L117" s="60"/>
      <c r="M117" s="10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 x14ac:dyDescent="0.25">
      <c r="A118" s="1"/>
      <c r="B118" s="60"/>
      <c r="C118" s="60"/>
      <c r="D118" s="60"/>
      <c r="E118" s="76"/>
      <c r="F118" s="76"/>
      <c r="G118" s="76"/>
      <c r="H118" s="60"/>
      <c r="I118" s="60"/>
      <c r="J118" s="60"/>
      <c r="K118" s="60"/>
      <c r="L118" s="64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 x14ac:dyDescent="0.25">
      <c r="A119" s="1"/>
      <c r="B119" s="60"/>
      <c r="C119" s="60"/>
      <c r="D119" s="60"/>
      <c r="E119" s="76"/>
      <c r="F119" s="76"/>
      <c r="G119" s="76"/>
      <c r="H119" s="60"/>
      <c r="I119" s="60"/>
      <c r="J119" s="60"/>
      <c r="K119" s="60"/>
      <c r="L119" s="60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 x14ac:dyDescent="0.25">
      <c r="A120" s="1"/>
      <c r="B120" s="60"/>
      <c r="C120" s="60"/>
      <c r="D120" s="60"/>
      <c r="E120" s="76"/>
      <c r="F120" s="76"/>
      <c r="G120" s="76"/>
      <c r="H120" s="60"/>
      <c r="I120" s="60"/>
      <c r="J120" s="60"/>
      <c r="K120" s="60"/>
      <c r="L120" s="6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 x14ac:dyDescent="0.25">
      <c r="A121" s="1"/>
      <c r="B121" s="60"/>
      <c r="C121" s="60"/>
      <c r="D121" s="60"/>
      <c r="E121" s="76"/>
      <c r="F121" s="76"/>
      <c r="G121" s="76"/>
      <c r="H121" s="60"/>
      <c r="I121" s="60"/>
      <c r="J121" s="60"/>
      <c r="K121" s="60"/>
      <c r="L121" s="60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60"/>
      <c r="C122" s="60"/>
      <c r="D122" s="60"/>
      <c r="E122" s="76"/>
      <c r="F122" s="76"/>
      <c r="G122" s="76"/>
      <c r="H122" s="60"/>
      <c r="I122" s="60"/>
      <c r="J122" s="60"/>
      <c r="K122" s="60"/>
      <c r="L122" s="6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60"/>
      <c r="C123" s="60"/>
      <c r="D123" s="60"/>
      <c r="E123" s="76"/>
      <c r="F123" s="76"/>
      <c r="G123" s="76"/>
      <c r="H123" s="60"/>
      <c r="I123" s="60"/>
      <c r="J123" s="60"/>
      <c r="K123" s="60"/>
      <c r="L123" s="6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60"/>
      <c r="C124" s="60"/>
      <c r="D124" s="60"/>
      <c r="E124" s="76"/>
      <c r="F124" s="76"/>
      <c r="G124" s="76"/>
      <c r="H124" s="60"/>
      <c r="I124" s="60"/>
      <c r="J124" s="60"/>
      <c r="K124" s="60"/>
      <c r="L124" s="6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60"/>
      <c r="C125" s="60"/>
      <c r="D125" s="60"/>
      <c r="E125" s="76"/>
      <c r="F125" s="76"/>
      <c r="G125" s="76"/>
      <c r="H125" s="60"/>
      <c r="I125" s="60"/>
      <c r="J125" s="60"/>
      <c r="K125" s="60"/>
      <c r="L125" s="6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60"/>
      <c r="C126" s="60"/>
      <c r="D126" s="60"/>
      <c r="E126" s="76"/>
      <c r="F126" s="76"/>
      <c r="G126" s="76"/>
      <c r="H126" s="60"/>
      <c r="I126" s="60"/>
      <c r="J126" s="60"/>
      <c r="K126" s="60"/>
      <c r="L126" s="6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60"/>
      <c r="C127" s="60"/>
      <c r="D127" s="60"/>
      <c r="E127" s="76"/>
      <c r="F127" s="76"/>
      <c r="G127" s="76"/>
      <c r="H127" s="60"/>
      <c r="I127" s="60"/>
      <c r="J127" s="60"/>
      <c r="K127" s="60"/>
      <c r="L127" s="60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60"/>
      <c r="C128" s="60"/>
      <c r="D128" s="60"/>
      <c r="E128" s="76"/>
      <c r="F128" s="76"/>
      <c r="G128" s="76"/>
      <c r="H128" s="60"/>
      <c r="I128" s="60"/>
      <c r="J128" s="60"/>
      <c r="K128" s="60"/>
      <c r="L128" s="6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60"/>
      <c r="C129" s="60"/>
      <c r="D129" s="60"/>
      <c r="E129" s="76"/>
      <c r="F129" s="76"/>
      <c r="G129" s="76"/>
      <c r="H129" s="60"/>
      <c r="I129" s="60"/>
      <c r="J129" s="60"/>
      <c r="K129" s="60"/>
      <c r="L129" s="6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60"/>
      <c r="C130" s="60"/>
      <c r="D130" s="60"/>
      <c r="E130" s="76"/>
      <c r="F130" s="76"/>
      <c r="G130" s="76"/>
      <c r="H130" s="60"/>
      <c r="I130" s="60"/>
      <c r="J130" s="60"/>
      <c r="K130" s="60"/>
      <c r="L130" s="6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60"/>
      <c r="C131" s="60"/>
      <c r="D131" s="60"/>
      <c r="E131" s="76"/>
      <c r="F131" s="76"/>
      <c r="G131" s="76"/>
      <c r="H131" s="60"/>
      <c r="I131" s="60"/>
      <c r="J131" s="60"/>
      <c r="K131" s="60"/>
      <c r="L131" s="6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60"/>
      <c r="C132" s="60"/>
      <c r="D132" s="60"/>
      <c r="E132" s="76"/>
      <c r="F132" s="76"/>
      <c r="G132" s="76"/>
      <c r="H132" s="60"/>
      <c r="I132" s="60"/>
      <c r="J132" s="60"/>
      <c r="K132" s="60"/>
      <c r="L132" s="6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60"/>
      <c r="C133" s="60"/>
      <c r="D133" s="60"/>
      <c r="E133" s="76"/>
      <c r="F133" s="76"/>
      <c r="G133" s="76"/>
      <c r="H133" s="60"/>
      <c r="I133" s="60"/>
      <c r="J133" s="60"/>
      <c r="K133" s="60"/>
      <c r="L133" s="6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60"/>
      <c r="C134" s="60"/>
      <c r="D134" s="60"/>
      <c r="E134" s="76"/>
      <c r="F134" s="76"/>
      <c r="G134" s="76"/>
      <c r="H134" s="60"/>
      <c r="I134" s="60"/>
      <c r="J134" s="60"/>
      <c r="K134" s="60"/>
      <c r="L134" s="60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60"/>
      <c r="C135" s="60"/>
      <c r="D135" s="60"/>
      <c r="E135" s="76"/>
      <c r="F135" s="76"/>
      <c r="G135" s="76"/>
      <c r="H135" s="60"/>
      <c r="I135" s="60"/>
      <c r="J135" s="60"/>
      <c r="K135" s="60"/>
      <c r="L135" s="6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60"/>
      <c r="C136" s="60"/>
      <c r="D136" s="60"/>
      <c r="E136" s="76"/>
      <c r="F136" s="76"/>
      <c r="G136" s="76"/>
      <c r="H136" s="60"/>
      <c r="I136" s="60"/>
      <c r="J136" s="60"/>
      <c r="K136" s="60"/>
      <c r="L136" s="6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60"/>
      <c r="C137" s="60"/>
      <c r="D137" s="60"/>
      <c r="E137" s="76"/>
      <c r="F137" s="76"/>
      <c r="G137" s="76"/>
      <c r="H137" s="60"/>
      <c r="I137" s="60"/>
      <c r="J137" s="60"/>
      <c r="K137" s="60"/>
      <c r="L137" s="6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60"/>
      <c r="C138" s="60"/>
      <c r="D138" s="60"/>
      <c r="E138" s="76"/>
      <c r="F138" s="76"/>
      <c r="G138" s="76"/>
      <c r="H138" s="60"/>
      <c r="I138" s="60"/>
      <c r="J138" s="60"/>
      <c r="K138" s="60"/>
      <c r="L138" s="60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25">
      <c r="A139" s="1"/>
      <c r="B139" s="60"/>
      <c r="C139" s="60"/>
      <c r="D139" s="60"/>
      <c r="E139" s="76"/>
      <c r="F139" s="76"/>
      <c r="G139" s="76"/>
      <c r="H139" s="60"/>
      <c r="I139" s="60"/>
      <c r="J139" s="60"/>
      <c r="K139" s="60"/>
      <c r="L139" s="60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25">
      <c r="A140" s="1"/>
      <c r="B140" s="60"/>
      <c r="C140" s="60"/>
      <c r="D140" s="60"/>
      <c r="E140" s="76"/>
      <c r="F140" s="76"/>
      <c r="G140" s="76"/>
      <c r="H140" s="60"/>
      <c r="I140" s="60"/>
      <c r="J140" s="60"/>
      <c r="K140" s="60"/>
      <c r="L140" s="60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25">
      <c r="A141" s="1"/>
      <c r="B141" s="60"/>
      <c r="C141" s="60"/>
      <c r="D141" s="60"/>
      <c r="E141" s="76"/>
      <c r="F141" s="76"/>
      <c r="G141" s="76"/>
      <c r="H141" s="60"/>
      <c r="I141" s="60"/>
      <c r="J141" s="60"/>
      <c r="K141" s="60"/>
      <c r="L141" s="6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25">
      <c r="A142" s="1"/>
      <c r="B142" s="60"/>
      <c r="C142" s="60"/>
      <c r="D142" s="60"/>
      <c r="E142" s="76"/>
      <c r="F142" s="76"/>
      <c r="G142" s="76"/>
      <c r="H142" s="60"/>
      <c r="I142" s="60"/>
      <c r="J142" s="60"/>
      <c r="K142" s="60"/>
      <c r="L142" s="6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25">
      <c r="A143" s="1"/>
      <c r="B143" s="60"/>
      <c r="C143" s="60"/>
      <c r="D143" s="60"/>
      <c r="E143" s="76"/>
      <c r="F143" s="76"/>
      <c r="G143" s="76"/>
      <c r="H143" s="60"/>
      <c r="I143" s="60"/>
      <c r="J143" s="60"/>
      <c r="K143" s="60"/>
      <c r="L143" s="60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25">
      <c r="A144" s="1"/>
      <c r="B144" s="60"/>
      <c r="C144" s="60"/>
      <c r="D144" s="60"/>
      <c r="E144" s="76"/>
      <c r="F144" s="76"/>
      <c r="G144" s="76"/>
      <c r="H144" s="60"/>
      <c r="I144" s="60"/>
      <c r="J144" s="60"/>
      <c r="K144" s="60"/>
      <c r="L144" s="60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25">
      <c r="A145" s="1"/>
      <c r="B145" s="60"/>
      <c r="C145" s="60"/>
      <c r="D145" s="60"/>
      <c r="E145" s="76"/>
      <c r="F145" s="76"/>
      <c r="G145" s="76"/>
      <c r="H145" s="60"/>
      <c r="I145" s="60"/>
      <c r="J145" s="60"/>
      <c r="K145" s="60"/>
      <c r="L145" s="60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25">
      <c r="A146" s="1"/>
      <c r="B146" s="60"/>
      <c r="C146" s="60"/>
      <c r="D146" s="60"/>
      <c r="E146" s="76"/>
      <c r="F146" s="76"/>
      <c r="G146" s="76"/>
      <c r="H146" s="60"/>
      <c r="I146" s="60"/>
      <c r="J146" s="60"/>
      <c r="K146" s="60"/>
      <c r="L146" s="6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25">
      <c r="A147" s="1"/>
      <c r="B147" s="60"/>
      <c r="C147" s="60"/>
      <c r="D147" s="60"/>
      <c r="E147" s="76"/>
      <c r="F147" s="76"/>
      <c r="G147" s="76"/>
      <c r="H147" s="60"/>
      <c r="I147" s="60"/>
      <c r="J147" s="60"/>
      <c r="K147" s="60"/>
      <c r="L147" s="6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25">
      <c r="A148" s="1"/>
      <c r="B148" s="60"/>
      <c r="C148" s="60"/>
      <c r="D148" s="60"/>
      <c r="E148" s="76"/>
      <c r="F148" s="76"/>
      <c r="G148" s="76"/>
      <c r="H148" s="60"/>
      <c r="I148" s="60"/>
      <c r="J148" s="60"/>
      <c r="K148" s="60"/>
      <c r="L148" s="60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25">
      <c r="A149" s="1"/>
      <c r="B149" s="60"/>
      <c r="C149" s="60"/>
      <c r="D149" s="60"/>
      <c r="E149" s="76"/>
      <c r="F149" s="76"/>
      <c r="G149" s="76"/>
      <c r="H149" s="60"/>
      <c r="I149" s="60"/>
      <c r="J149" s="60"/>
      <c r="K149" s="60"/>
      <c r="L149" s="60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25">
      <c r="A150" s="1"/>
      <c r="B150" s="60"/>
      <c r="C150" s="60"/>
      <c r="D150" s="60"/>
      <c r="E150" s="76"/>
      <c r="F150" s="76"/>
      <c r="G150" s="76"/>
      <c r="H150" s="60"/>
      <c r="I150" s="60"/>
      <c r="J150" s="60"/>
      <c r="K150" s="60"/>
      <c r="L150" s="60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25">
      <c r="A151" s="1"/>
      <c r="B151" s="60"/>
      <c r="C151" s="60"/>
      <c r="D151" s="60"/>
      <c r="E151" s="76"/>
      <c r="F151" s="76"/>
      <c r="G151" s="76"/>
      <c r="H151" s="60"/>
      <c r="I151" s="60"/>
      <c r="J151" s="60"/>
      <c r="K151" s="60"/>
      <c r="L151" s="60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25">
      <c r="A152" s="1"/>
      <c r="B152" s="60"/>
      <c r="C152" s="60"/>
      <c r="D152" s="60"/>
      <c r="E152" s="76"/>
      <c r="F152" s="76"/>
      <c r="G152" s="76"/>
      <c r="H152" s="60"/>
      <c r="I152" s="60"/>
      <c r="J152" s="60"/>
      <c r="K152" s="60"/>
      <c r="L152" s="6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25">
      <c r="A153" s="1"/>
      <c r="B153" s="60"/>
      <c r="C153" s="60"/>
      <c r="D153" s="60"/>
      <c r="E153" s="76"/>
      <c r="F153" s="76"/>
      <c r="G153" s="76"/>
      <c r="H153" s="60"/>
      <c r="I153" s="60"/>
      <c r="J153" s="60"/>
      <c r="K153" s="60"/>
      <c r="L153" s="60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25">
      <c r="A154" s="1"/>
      <c r="B154" s="60"/>
      <c r="C154" s="60"/>
      <c r="D154" s="60"/>
      <c r="E154" s="76"/>
      <c r="F154" s="76"/>
      <c r="G154" s="76"/>
      <c r="H154" s="60"/>
      <c r="I154" s="60"/>
      <c r="J154" s="60"/>
      <c r="K154" s="60"/>
      <c r="L154" s="60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25">
      <c r="A155" s="1"/>
      <c r="B155" s="60"/>
      <c r="C155" s="60"/>
      <c r="D155" s="60"/>
      <c r="E155" s="76"/>
      <c r="F155" s="76"/>
      <c r="G155" s="76"/>
      <c r="H155" s="60"/>
      <c r="I155" s="60"/>
      <c r="J155" s="60"/>
      <c r="K155" s="60"/>
      <c r="L155" s="60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25">
      <c r="A156" s="1"/>
      <c r="B156" s="60"/>
      <c r="C156" s="60"/>
      <c r="D156" s="60"/>
      <c r="E156" s="76"/>
      <c r="F156" s="76"/>
      <c r="G156" s="76"/>
      <c r="H156" s="60"/>
      <c r="I156" s="60"/>
      <c r="J156" s="60"/>
      <c r="K156" s="60"/>
      <c r="L156" s="60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25">
      <c r="A157" s="1"/>
      <c r="B157" s="60"/>
      <c r="C157" s="60"/>
      <c r="D157" s="60"/>
      <c r="E157" s="76"/>
      <c r="F157" s="76"/>
      <c r="G157" s="76"/>
      <c r="H157" s="60"/>
      <c r="I157" s="60"/>
      <c r="J157" s="60"/>
      <c r="K157" s="60"/>
      <c r="L157" s="60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25">
      <c r="A158" s="1"/>
      <c r="B158" s="60"/>
      <c r="C158" s="60"/>
      <c r="D158" s="60"/>
      <c r="E158" s="76"/>
      <c r="F158" s="76"/>
      <c r="G158" s="76"/>
      <c r="H158" s="60"/>
      <c r="I158" s="60"/>
      <c r="J158" s="60"/>
      <c r="K158" s="60"/>
      <c r="L158" s="60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25">
      <c r="A159" s="1"/>
      <c r="B159" s="60"/>
      <c r="C159" s="60"/>
      <c r="D159" s="60"/>
      <c r="E159" s="76"/>
      <c r="F159" s="76"/>
      <c r="G159" s="76"/>
      <c r="H159" s="60"/>
      <c r="I159" s="60"/>
      <c r="J159" s="60"/>
      <c r="K159" s="60"/>
      <c r="L159" s="60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25">
      <c r="A160" s="1"/>
      <c r="B160" s="60"/>
      <c r="C160" s="60"/>
      <c r="D160" s="60"/>
      <c r="E160" s="76"/>
      <c r="F160" s="76"/>
      <c r="G160" s="76"/>
      <c r="H160" s="60"/>
      <c r="I160" s="60"/>
      <c r="J160" s="60"/>
      <c r="K160" s="60"/>
      <c r="L160" s="60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25">
      <c r="A161" s="1"/>
      <c r="B161" s="60"/>
      <c r="C161" s="60"/>
      <c r="D161" s="60"/>
      <c r="E161" s="76"/>
      <c r="F161" s="76"/>
      <c r="G161" s="76"/>
      <c r="H161" s="60"/>
      <c r="I161" s="60"/>
      <c r="J161" s="60"/>
      <c r="K161" s="60"/>
      <c r="L161" s="6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25">
      <c r="A162" s="1"/>
      <c r="B162" s="60"/>
      <c r="C162" s="60"/>
      <c r="D162" s="60"/>
      <c r="E162" s="76"/>
      <c r="F162" s="76"/>
      <c r="G162" s="76"/>
      <c r="H162" s="60"/>
      <c r="I162" s="60"/>
      <c r="J162" s="60"/>
      <c r="K162" s="60"/>
      <c r="L162" s="60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25">
      <c r="A163" s="1"/>
      <c r="B163" s="60"/>
      <c r="C163" s="60"/>
      <c r="D163" s="60"/>
      <c r="E163" s="76"/>
      <c r="F163" s="76"/>
      <c r="G163" s="76"/>
      <c r="H163" s="60"/>
      <c r="I163" s="60"/>
      <c r="J163" s="60"/>
      <c r="K163" s="60"/>
      <c r="L163" s="60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25">
      <c r="A164" s="1"/>
      <c r="B164" s="60"/>
      <c r="C164" s="60"/>
      <c r="D164" s="60"/>
      <c r="E164" s="76"/>
      <c r="F164" s="76"/>
      <c r="G164" s="76"/>
      <c r="H164" s="60"/>
      <c r="I164" s="60"/>
      <c r="J164" s="60"/>
      <c r="K164" s="60"/>
      <c r="L164" s="60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25">
      <c r="A165" s="1"/>
      <c r="B165" s="60"/>
      <c r="C165" s="60"/>
      <c r="D165" s="60"/>
      <c r="E165" s="76"/>
      <c r="F165" s="76"/>
      <c r="G165" s="76"/>
      <c r="H165" s="60"/>
      <c r="I165" s="60"/>
      <c r="J165" s="60"/>
      <c r="K165" s="60"/>
      <c r="L165" s="6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25">
      <c r="A166" s="1"/>
      <c r="B166" s="60"/>
      <c r="C166" s="60"/>
      <c r="D166" s="60"/>
      <c r="E166" s="76"/>
      <c r="F166" s="76"/>
      <c r="G166" s="76"/>
      <c r="H166" s="60"/>
      <c r="I166" s="60"/>
      <c r="J166" s="60"/>
      <c r="K166" s="60"/>
      <c r="L166" s="60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25">
      <c r="A167" s="1"/>
      <c r="B167" s="60"/>
      <c r="C167" s="60"/>
      <c r="D167" s="60"/>
      <c r="E167" s="76"/>
      <c r="F167" s="76"/>
      <c r="G167" s="76"/>
      <c r="H167" s="60"/>
      <c r="I167" s="60"/>
      <c r="J167" s="60"/>
      <c r="K167" s="60"/>
      <c r="L167" s="6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25">
      <c r="A168" s="1"/>
      <c r="B168" s="60"/>
      <c r="C168" s="60"/>
      <c r="D168" s="60"/>
      <c r="E168" s="76"/>
      <c r="F168" s="76"/>
      <c r="G168" s="76"/>
      <c r="H168" s="60"/>
      <c r="I168" s="60"/>
      <c r="J168" s="60"/>
      <c r="K168" s="60"/>
      <c r="L168" s="6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25">
      <c r="A169" s="1"/>
      <c r="B169" s="60"/>
      <c r="C169" s="60"/>
      <c r="D169" s="60"/>
      <c r="E169" s="76"/>
      <c r="F169" s="76"/>
      <c r="G169" s="76"/>
      <c r="H169" s="60"/>
      <c r="I169" s="60"/>
      <c r="J169" s="60"/>
      <c r="K169" s="60"/>
      <c r="L169" s="60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25">
      <c r="A170" s="1"/>
      <c r="B170" s="60"/>
      <c r="C170" s="60"/>
      <c r="D170" s="60"/>
      <c r="E170" s="76"/>
      <c r="F170" s="76"/>
      <c r="G170" s="76"/>
      <c r="H170" s="60"/>
      <c r="I170" s="60"/>
      <c r="J170" s="60"/>
      <c r="K170" s="60"/>
      <c r="L170" s="6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25">
      <c r="A171" s="1"/>
      <c r="B171" s="60"/>
      <c r="C171" s="60"/>
      <c r="D171" s="60"/>
      <c r="E171" s="76"/>
      <c r="F171" s="76"/>
      <c r="G171" s="76"/>
      <c r="H171" s="60"/>
      <c r="I171" s="60"/>
      <c r="J171" s="60"/>
      <c r="K171" s="60"/>
      <c r="L171" s="60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25">
      <c r="A172" s="1"/>
      <c r="B172" s="60"/>
      <c r="C172" s="60"/>
      <c r="D172" s="60"/>
      <c r="E172" s="76"/>
      <c r="F172" s="76"/>
      <c r="G172" s="76"/>
      <c r="H172" s="60"/>
      <c r="I172" s="60"/>
      <c r="J172" s="60"/>
      <c r="K172" s="60"/>
      <c r="L172" s="6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25">
      <c r="A173" s="1"/>
      <c r="B173" s="60"/>
      <c r="C173" s="60"/>
      <c r="D173" s="60"/>
      <c r="E173" s="76"/>
      <c r="F173" s="76"/>
      <c r="G173" s="76"/>
      <c r="H173" s="60"/>
      <c r="I173" s="60"/>
      <c r="J173" s="60"/>
      <c r="K173" s="60"/>
      <c r="L173" s="60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25">
      <c r="A174" s="1"/>
      <c r="B174" s="60"/>
      <c r="C174" s="60"/>
      <c r="D174" s="60"/>
      <c r="E174" s="76"/>
      <c r="F174" s="76"/>
      <c r="G174" s="76"/>
      <c r="H174" s="60"/>
      <c r="I174" s="60"/>
      <c r="J174" s="60"/>
      <c r="K174" s="60"/>
      <c r="L174" s="6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25">
      <c r="A175" s="1"/>
      <c r="B175" s="60"/>
      <c r="C175" s="60"/>
      <c r="D175" s="60"/>
      <c r="E175" s="76"/>
      <c r="F175" s="76"/>
      <c r="G175" s="76"/>
      <c r="H175" s="60"/>
      <c r="I175" s="60"/>
      <c r="J175" s="60"/>
      <c r="K175" s="60"/>
      <c r="L175" s="6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25">
      <c r="A176" s="1"/>
      <c r="B176" s="60"/>
      <c r="C176" s="60"/>
      <c r="D176" s="60"/>
      <c r="E176" s="76"/>
      <c r="F176" s="76"/>
      <c r="G176" s="76"/>
      <c r="H176" s="60"/>
      <c r="I176" s="60"/>
      <c r="J176" s="60"/>
      <c r="K176" s="60"/>
      <c r="L176" s="60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25">
      <c r="A177" s="1"/>
      <c r="B177" s="60"/>
      <c r="C177" s="60"/>
      <c r="D177" s="60"/>
      <c r="E177" s="76"/>
      <c r="F177" s="76"/>
      <c r="G177" s="76"/>
      <c r="H177" s="60"/>
      <c r="I177" s="60"/>
      <c r="J177" s="60"/>
      <c r="K177" s="60"/>
      <c r="L177" s="60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25">
      <c r="A178" s="1"/>
      <c r="B178" s="60"/>
      <c r="C178" s="60"/>
      <c r="D178" s="60"/>
      <c r="E178" s="76"/>
      <c r="F178" s="76"/>
      <c r="G178" s="76"/>
      <c r="H178" s="60"/>
      <c r="I178" s="60"/>
      <c r="J178" s="60"/>
      <c r="K178" s="60"/>
      <c r="L178" s="60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25">
      <c r="A179" s="1"/>
      <c r="B179" s="60"/>
      <c r="C179" s="60"/>
      <c r="D179" s="60"/>
      <c r="E179" s="76"/>
      <c r="F179" s="76"/>
      <c r="G179" s="76"/>
      <c r="H179" s="60"/>
      <c r="I179" s="60"/>
      <c r="J179" s="60"/>
      <c r="K179" s="60"/>
      <c r="L179" s="6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25">
      <c r="A180" s="1"/>
      <c r="B180" s="60"/>
      <c r="C180" s="60"/>
      <c r="D180" s="60"/>
      <c r="E180" s="76"/>
      <c r="F180" s="76"/>
      <c r="G180" s="76"/>
      <c r="H180" s="60"/>
      <c r="I180" s="60"/>
      <c r="J180" s="60"/>
      <c r="K180" s="60"/>
      <c r="L180" s="60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25">
      <c r="A181" s="1"/>
      <c r="B181" s="60"/>
      <c r="C181" s="60"/>
      <c r="D181" s="60"/>
      <c r="E181" s="76"/>
      <c r="F181" s="76"/>
      <c r="G181" s="76"/>
      <c r="H181" s="60"/>
      <c r="I181" s="60"/>
      <c r="J181" s="60"/>
      <c r="K181" s="60"/>
      <c r="L181" s="6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25">
      <c r="A182" s="1"/>
      <c r="B182" s="60"/>
      <c r="C182" s="60"/>
      <c r="D182" s="60"/>
      <c r="E182" s="76"/>
      <c r="F182" s="76"/>
      <c r="G182" s="76"/>
      <c r="H182" s="60"/>
      <c r="I182" s="60"/>
      <c r="J182" s="60"/>
      <c r="K182" s="60"/>
      <c r="L182" s="60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25">
      <c r="A183" s="1"/>
      <c r="B183" s="60"/>
      <c r="C183" s="60"/>
      <c r="D183" s="60"/>
      <c r="E183" s="76"/>
      <c r="F183" s="76"/>
      <c r="G183" s="76"/>
      <c r="H183" s="60"/>
      <c r="I183" s="60"/>
      <c r="J183" s="60"/>
      <c r="K183" s="60"/>
      <c r="L183" s="6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25">
      <c r="A184" s="1"/>
      <c r="B184" s="60"/>
      <c r="C184" s="60"/>
      <c r="D184" s="60"/>
      <c r="E184" s="76"/>
      <c r="F184" s="76"/>
      <c r="G184" s="76"/>
      <c r="H184" s="60"/>
      <c r="I184" s="60"/>
      <c r="J184" s="60"/>
      <c r="K184" s="60"/>
      <c r="L184" s="6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25">
      <c r="A185" s="1"/>
      <c r="B185" s="60"/>
      <c r="C185" s="60"/>
      <c r="D185" s="60"/>
      <c r="E185" s="76"/>
      <c r="F185" s="76"/>
      <c r="G185" s="76"/>
      <c r="H185" s="60"/>
      <c r="I185" s="60"/>
      <c r="J185" s="60"/>
      <c r="K185" s="60"/>
      <c r="L185" s="6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25">
      <c r="A186" s="1"/>
      <c r="B186" s="60"/>
      <c r="C186" s="60"/>
      <c r="D186" s="60"/>
      <c r="E186" s="76"/>
      <c r="F186" s="76"/>
      <c r="G186" s="76"/>
      <c r="H186" s="60"/>
      <c r="I186" s="60"/>
      <c r="J186" s="60"/>
      <c r="K186" s="60"/>
      <c r="L186" s="6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25">
      <c r="A187" s="1"/>
      <c r="B187" s="60"/>
      <c r="C187" s="60"/>
      <c r="D187" s="60"/>
      <c r="E187" s="76"/>
      <c r="F187" s="76"/>
      <c r="G187" s="76"/>
      <c r="H187" s="60"/>
      <c r="I187" s="60"/>
      <c r="J187" s="60"/>
      <c r="K187" s="60"/>
      <c r="L187" s="60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25">
      <c r="A188" s="1"/>
      <c r="B188" s="60"/>
      <c r="C188" s="60"/>
      <c r="D188" s="60"/>
      <c r="E188" s="76"/>
      <c r="F188" s="76"/>
      <c r="G188" s="76"/>
      <c r="H188" s="60"/>
      <c r="I188" s="60"/>
      <c r="J188" s="60"/>
      <c r="K188" s="60"/>
      <c r="L188" s="6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25">
      <c r="A189" s="1"/>
      <c r="B189" s="60"/>
      <c r="C189" s="60"/>
      <c r="D189" s="60"/>
      <c r="E189" s="76"/>
      <c r="F189" s="76"/>
      <c r="G189" s="76"/>
      <c r="H189" s="60"/>
      <c r="I189" s="60"/>
      <c r="J189" s="60"/>
      <c r="K189" s="60"/>
      <c r="L189" s="6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25">
      <c r="A190" s="1"/>
      <c r="B190" s="60"/>
      <c r="C190" s="60"/>
      <c r="D190" s="60"/>
      <c r="E190" s="76"/>
      <c r="F190" s="76"/>
      <c r="G190" s="76"/>
      <c r="H190" s="60"/>
      <c r="I190" s="60"/>
      <c r="J190" s="60"/>
      <c r="K190" s="60"/>
      <c r="L190" s="6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25">
      <c r="A191" s="1"/>
      <c r="B191" s="60"/>
      <c r="C191" s="60"/>
      <c r="D191" s="60"/>
      <c r="E191" s="76"/>
      <c r="F191" s="76"/>
      <c r="G191" s="76"/>
      <c r="H191" s="60"/>
      <c r="I191" s="60"/>
      <c r="J191" s="60"/>
      <c r="K191" s="60"/>
      <c r="L191" s="60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25">
      <c r="A192" s="1"/>
      <c r="B192" s="60"/>
      <c r="C192" s="60"/>
      <c r="D192" s="60"/>
      <c r="E192" s="76"/>
      <c r="F192" s="76"/>
      <c r="G192" s="76"/>
      <c r="H192" s="60"/>
      <c r="I192" s="60"/>
      <c r="J192" s="60"/>
      <c r="K192" s="60"/>
      <c r="L192" s="6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25">
      <c r="A193" s="1"/>
      <c r="B193" s="60"/>
      <c r="C193" s="60"/>
      <c r="D193" s="60"/>
      <c r="E193" s="76"/>
      <c r="F193" s="76"/>
      <c r="G193" s="76"/>
      <c r="H193" s="60"/>
      <c r="I193" s="60"/>
      <c r="J193" s="60"/>
      <c r="K193" s="60"/>
      <c r="L193" s="6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25">
      <c r="A194" s="1"/>
      <c r="B194" s="60"/>
      <c r="C194" s="60"/>
      <c r="D194" s="60"/>
      <c r="E194" s="76"/>
      <c r="F194" s="76"/>
      <c r="G194" s="76"/>
      <c r="H194" s="60"/>
      <c r="I194" s="60"/>
      <c r="J194" s="60"/>
      <c r="K194" s="60"/>
      <c r="L194" s="6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25">
      <c r="A195" s="1"/>
      <c r="B195" s="60"/>
      <c r="C195" s="60"/>
      <c r="D195" s="60"/>
      <c r="E195" s="76"/>
      <c r="F195" s="76"/>
      <c r="G195" s="76"/>
      <c r="H195" s="60"/>
      <c r="I195" s="60"/>
      <c r="J195" s="60"/>
      <c r="K195" s="60"/>
      <c r="L195" s="6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4.25" customHeight="1" x14ac:dyDescent="0.2"/>
    <row r="310" spans="1:32" ht="14.25" customHeight="1" x14ac:dyDescent="0.2"/>
    <row r="311" spans="1:32" ht="14.25" customHeight="1" x14ac:dyDescent="0.2"/>
    <row r="312" spans="1:32" ht="14.25" customHeight="1" x14ac:dyDescent="0.2"/>
    <row r="313" spans="1:32" ht="14.25" customHeight="1" x14ac:dyDescent="0.2"/>
    <row r="314" spans="1:32" ht="14.25" customHeight="1" x14ac:dyDescent="0.2"/>
    <row r="315" spans="1:32" ht="14.25" customHeight="1" x14ac:dyDescent="0.2"/>
    <row r="316" spans="1:32" ht="14.25" customHeight="1" x14ac:dyDescent="0.2"/>
    <row r="317" spans="1:32" ht="14.25" customHeight="1" x14ac:dyDescent="0.2"/>
    <row r="318" spans="1:32" ht="14.25" customHeight="1" x14ac:dyDescent="0.2"/>
    <row r="319" spans="1:32" ht="14.25" customHeight="1" x14ac:dyDescent="0.2"/>
    <row r="320" spans="1:32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  <row r="1007" ht="14.25" customHeight="1" x14ac:dyDescent="0.2"/>
    <row r="1008" ht="14.25" customHeight="1" x14ac:dyDescent="0.2"/>
    <row r="1009" ht="14.25" customHeight="1" x14ac:dyDescent="0.2"/>
    <row r="1010" ht="14.25" customHeight="1" x14ac:dyDescent="0.2"/>
    <row r="1011" ht="14.25" customHeight="1" x14ac:dyDescent="0.2"/>
    <row r="1012" ht="14.25" customHeight="1" x14ac:dyDescent="0.2"/>
    <row r="1013" ht="14.25" customHeight="1" x14ac:dyDescent="0.2"/>
    <row r="1014" ht="14.25" customHeight="1" x14ac:dyDescent="0.2"/>
    <row r="1015" ht="14.25" customHeight="1" x14ac:dyDescent="0.2"/>
    <row r="1016" ht="14.25" customHeight="1" x14ac:dyDescent="0.2"/>
    <row r="1017" ht="14.25" customHeight="1" x14ac:dyDescent="0.2"/>
    <row r="1018" ht="14.25" customHeight="1" x14ac:dyDescent="0.2"/>
    <row r="1019" ht="14.25" customHeight="1" x14ac:dyDescent="0.2"/>
    <row r="1020" ht="14.25" customHeight="1" x14ac:dyDescent="0.2"/>
    <row r="1021" ht="14.25" customHeight="1" x14ac:dyDescent="0.2"/>
    <row r="1022" ht="14.25" customHeight="1" x14ac:dyDescent="0.2"/>
    <row r="1023" ht="14.25" customHeight="1" x14ac:dyDescent="0.2"/>
    <row r="1024" ht="14.25" customHeight="1" x14ac:dyDescent="0.2"/>
    <row r="1025" ht="14.25" customHeight="1" x14ac:dyDescent="0.2"/>
    <row r="1026" ht="14.25" customHeight="1" x14ac:dyDescent="0.2"/>
    <row r="1027" ht="14.25" customHeight="1" x14ac:dyDescent="0.2"/>
    <row r="1028" ht="14.25" customHeight="1" x14ac:dyDescent="0.2"/>
    <row r="1029" ht="14.25" customHeight="1" x14ac:dyDescent="0.2"/>
    <row r="1030" ht="14.25" customHeight="1" x14ac:dyDescent="0.2"/>
  </sheetData>
  <mergeCells count="45">
    <mergeCell ref="J106:J108"/>
    <mergeCell ref="K106:K108"/>
    <mergeCell ref="L106:L108"/>
    <mergeCell ref="D105:H105"/>
    <mergeCell ref="B99:L99"/>
    <mergeCell ref="A103:L103"/>
    <mergeCell ref="B106:B108"/>
    <mergeCell ref="C106:C108"/>
    <mergeCell ref="D106:D108"/>
    <mergeCell ref="E106:E108"/>
    <mergeCell ref="F106:F108"/>
    <mergeCell ref="G106:G108"/>
    <mergeCell ref="H106:H108"/>
    <mergeCell ref="I106:I108"/>
    <mergeCell ref="B64:L64"/>
    <mergeCell ref="B77:L77"/>
    <mergeCell ref="B84:L84"/>
    <mergeCell ref="B88:L88"/>
    <mergeCell ref="B95:L95"/>
    <mergeCell ref="L61:L63"/>
    <mergeCell ref="K3:K5"/>
    <mergeCell ref="L3:L5"/>
    <mergeCell ref="B6:L6"/>
    <mergeCell ref="B45:L45"/>
    <mergeCell ref="A59:L59"/>
    <mergeCell ref="B61:B63"/>
    <mergeCell ref="C61:C63"/>
    <mergeCell ref="D61:D63"/>
    <mergeCell ref="E61:E63"/>
    <mergeCell ref="F61:F63"/>
    <mergeCell ref="G61:G63"/>
    <mergeCell ref="H61:H63"/>
    <mergeCell ref="I61:I63"/>
    <mergeCell ref="J61:J63"/>
    <mergeCell ref="K61:K63"/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rintOptions horizontalCentered="1"/>
  <pageMargins left="0.31496062992125984" right="0.31496062992125984" top="0.39370078740157483" bottom="0.39370078740157483" header="0" footer="0"/>
  <pageSetup paperSize="9" scale="65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F1030"/>
  <sheetViews>
    <sheetView zoomScaleNormal="100" workbookViewId="0"/>
  </sheetViews>
  <sheetFormatPr defaultColWidth="12.625" defaultRowHeight="15" customHeight="1" x14ac:dyDescent="0.2"/>
  <cols>
    <col min="1" max="1" width="30.125" customWidth="1"/>
    <col min="2" max="2" width="10.875" customWidth="1"/>
    <col min="3" max="3" width="10.25" customWidth="1"/>
    <col min="4" max="4" width="11.875" customWidth="1"/>
    <col min="5" max="5" width="11.375" bestFit="1" customWidth="1"/>
    <col min="6" max="6" width="9.625" customWidth="1"/>
    <col min="7" max="7" width="15" customWidth="1"/>
    <col min="8" max="8" width="12.75" customWidth="1"/>
    <col min="9" max="9" width="10.375" customWidth="1"/>
    <col min="10" max="10" width="12.5" customWidth="1"/>
    <col min="11" max="11" width="10.25" customWidth="1"/>
    <col min="12" max="12" width="13.375" customWidth="1"/>
    <col min="13" max="13" width="10.125" customWidth="1"/>
    <col min="14" max="14" width="9.875" customWidth="1"/>
    <col min="15" max="15" width="12.25" customWidth="1"/>
    <col min="16" max="16" width="10.25" customWidth="1"/>
    <col min="17" max="32" width="8" customWidth="1"/>
  </cols>
  <sheetData>
    <row r="1" spans="1:32" ht="14.25" customHeight="1" x14ac:dyDescent="0.25">
      <c r="A1" s="238" t="s">
        <v>159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5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customHeight="1" thickBot="1" x14ac:dyDescent="0.3">
      <c r="A2" s="109" t="s">
        <v>57</v>
      </c>
      <c r="B2" s="110">
        <v>2022</v>
      </c>
      <c r="C2" s="104"/>
      <c r="D2" s="104"/>
      <c r="E2" s="105"/>
      <c r="F2" s="105"/>
      <c r="G2" s="105"/>
      <c r="H2" s="104"/>
      <c r="I2" s="104"/>
      <c r="J2" s="104"/>
      <c r="K2" s="104"/>
      <c r="L2" s="104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106" t="s">
        <v>2</v>
      </c>
      <c r="B3" s="248" t="s">
        <v>3</v>
      </c>
      <c r="C3" s="248" t="s">
        <v>92</v>
      </c>
      <c r="D3" s="251" t="s">
        <v>93</v>
      </c>
      <c r="E3" s="252" t="s">
        <v>8</v>
      </c>
      <c r="F3" s="254" t="s">
        <v>94</v>
      </c>
      <c r="G3" s="254" t="s">
        <v>9</v>
      </c>
      <c r="H3" s="248" t="s">
        <v>11</v>
      </c>
      <c r="I3" s="248" t="s">
        <v>95</v>
      </c>
      <c r="J3" s="251" t="s">
        <v>12</v>
      </c>
      <c r="K3" s="251" t="s">
        <v>13</v>
      </c>
      <c r="L3" s="256" t="s">
        <v>14</v>
      </c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x14ac:dyDescent="0.25">
      <c r="A4" s="107" t="s">
        <v>15</v>
      </c>
      <c r="B4" s="249"/>
      <c r="C4" s="249"/>
      <c r="D4" s="249"/>
      <c r="E4" s="252"/>
      <c r="F4" s="249"/>
      <c r="G4" s="249"/>
      <c r="H4" s="249"/>
      <c r="I4" s="249"/>
      <c r="J4" s="249"/>
      <c r="K4" s="249"/>
      <c r="L4" s="251"/>
      <c r="M4" s="5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 x14ac:dyDescent="0.25">
      <c r="A5" s="108" t="s">
        <v>16</v>
      </c>
      <c r="B5" s="250"/>
      <c r="C5" s="250"/>
      <c r="D5" s="250"/>
      <c r="E5" s="253"/>
      <c r="F5" s="250"/>
      <c r="G5" s="250"/>
      <c r="H5" s="250"/>
      <c r="I5" s="250"/>
      <c r="J5" s="250"/>
      <c r="K5" s="250"/>
      <c r="L5" s="257"/>
      <c r="M5" s="5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 x14ac:dyDescent="0.25">
      <c r="A6" s="2" t="s">
        <v>96</v>
      </c>
      <c r="B6" s="235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5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 x14ac:dyDescent="0.25">
      <c r="A7" s="8" t="s">
        <v>99</v>
      </c>
      <c r="B7" s="54"/>
      <c r="C7" s="54"/>
      <c r="D7" s="54"/>
      <c r="E7" s="66"/>
      <c r="F7" s="66"/>
      <c r="G7" s="66"/>
      <c r="H7" s="54"/>
      <c r="I7" s="54"/>
      <c r="J7" s="54"/>
      <c r="K7" s="54"/>
      <c r="L7" s="54"/>
      <c r="M7" s="5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 x14ac:dyDescent="0.25">
      <c r="A8" s="10" t="s">
        <v>151</v>
      </c>
      <c r="B8" s="54"/>
      <c r="C8" s="54"/>
      <c r="D8" s="54"/>
      <c r="E8" s="66"/>
      <c r="F8" s="66"/>
      <c r="G8" s="66"/>
      <c r="H8" s="54"/>
      <c r="I8" s="54"/>
      <c r="J8" s="54"/>
      <c r="K8" s="54"/>
      <c r="L8" s="54"/>
      <c r="M8" s="5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 x14ac:dyDescent="0.25">
      <c r="A9" s="6">
        <v>43171</v>
      </c>
      <c r="B9" s="55">
        <v>2058.0500000000002</v>
      </c>
      <c r="C9" s="55"/>
      <c r="D9" s="55"/>
      <c r="E9" s="67"/>
      <c r="F9" s="68"/>
      <c r="G9" s="69">
        <f>SUM(B9:F9)</f>
        <v>2058.0500000000002</v>
      </c>
      <c r="H9" s="56">
        <v>167.04</v>
      </c>
      <c r="I9" s="56"/>
      <c r="J9" s="56">
        <f>62.15+2.47+66.85</f>
        <v>131.47</v>
      </c>
      <c r="K9" s="56">
        <f>SUM(H9:J9)</f>
        <v>298.51</v>
      </c>
      <c r="L9" s="56">
        <f>G9-K9</f>
        <v>1759.5400000000002</v>
      </c>
      <c r="M9" s="5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.75" customHeight="1" x14ac:dyDescent="0.25">
      <c r="A10" s="8" t="s">
        <v>101</v>
      </c>
      <c r="B10" s="57"/>
      <c r="C10" s="57"/>
      <c r="D10" s="57"/>
      <c r="E10" s="70"/>
      <c r="F10" s="70"/>
      <c r="G10" s="66"/>
      <c r="H10" s="54"/>
      <c r="I10" s="54"/>
      <c r="J10" s="54"/>
      <c r="K10" s="54"/>
      <c r="L10" s="54"/>
      <c r="M10" s="5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.75" customHeight="1" x14ac:dyDescent="0.25">
      <c r="A11" s="5" t="s">
        <v>144</v>
      </c>
      <c r="B11" s="57"/>
      <c r="C11" s="57"/>
      <c r="D11" s="57"/>
      <c r="E11" s="70"/>
      <c r="F11" s="70"/>
      <c r="G11" s="66"/>
      <c r="H11" s="54"/>
      <c r="I11" s="54"/>
      <c r="J11" s="54"/>
      <c r="K11" s="54"/>
      <c r="L11" s="54"/>
      <c r="M11" s="52"/>
      <c r="N11" s="1"/>
      <c r="O11" s="1"/>
      <c r="P11" s="34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.75" customHeight="1" x14ac:dyDescent="0.25">
      <c r="A12" s="6">
        <v>42037</v>
      </c>
      <c r="B12" s="55">
        <v>3568.82</v>
      </c>
      <c r="C12" s="55"/>
      <c r="D12" s="55">
        <v>71.37</v>
      </c>
      <c r="E12" s="67"/>
      <c r="F12" s="68"/>
      <c r="G12" s="69">
        <f>SUM(B12:F12)</f>
        <v>3640.19</v>
      </c>
      <c r="H12" s="56">
        <v>394.1</v>
      </c>
      <c r="I12" s="56">
        <v>132.11000000000001</v>
      </c>
      <c r="J12" s="56">
        <f>62.15+2.34+126.81</f>
        <v>191.3</v>
      </c>
      <c r="K12" s="56">
        <f>H12+I12+J12</f>
        <v>717.51</v>
      </c>
      <c r="L12" s="56">
        <f>G12-K12</f>
        <v>2922.6800000000003</v>
      </c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4.25" customHeight="1" x14ac:dyDescent="0.25">
      <c r="A13" s="8" t="s">
        <v>103</v>
      </c>
      <c r="B13" s="57"/>
      <c r="C13" s="57"/>
      <c r="D13" s="57"/>
      <c r="E13" s="70"/>
      <c r="F13" s="70"/>
      <c r="G13" s="66"/>
      <c r="H13" s="54"/>
      <c r="I13" s="54"/>
      <c r="J13" s="54"/>
      <c r="K13" s="54"/>
      <c r="L13" s="54"/>
      <c r="M13" s="5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4.25" customHeight="1" x14ac:dyDescent="0.25">
      <c r="A14" s="5" t="s">
        <v>104</v>
      </c>
      <c r="B14" s="57"/>
      <c r="C14" s="57"/>
      <c r="D14" s="57"/>
      <c r="E14" s="70"/>
      <c r="F14" s="70"/>
      <c r="G14" s="66"/>
      <c r="H14" s="54"/>
      <c r="I14" s="54"/>
      <c r="J14" s="54"/>
      <c r="K14" s="54"/>
      <c r="L14" s="54"/>
      <c r="M14" s="5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4.25" customHeight="1" x14ac:dyDescent="0.25">
      <c r="A15" s="6">
        <v>41319</v>
      </c>
      <c r="B15" s="55">
        <v>6678.33</v>
      </c>
      <c r="C15" s="55"/>
      <c r="D15" s="55">
        <v>133.56</v>
      </c>
      <c r="E15" s="67">
        <v>3005.25</v>
      </c>
      <c r="F15" s="68"/>
      <c r="G15" s="69">
        <f>SUM(B15:F15)</f>
        <v>9817.14</v>
      </c>
      <c r="H15" s="56">
        <v>828.38</v>
      </c>
      <c r="I15" s="56">
        <v>1498.27</v>
      </c>
      <c r="J15" s="56">
        <f>62.15+2.21+80.13</f>
        <v>144.49</v>
      </c>
      <c r="K15" s="56">
        <f>H15+I15+J15</f>
        <v>2471.1400000000003</v>
      </c>
      <c r="L15" s="56">
        <f>G15-K15</f>
        <v>7345.9999999999991</v>
      </c>
      <c r="M15" s="5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 x14ac:dyDescent="0.25">
      <c r="A16" s="8" t="s">
        <v>105</v>
      </c>
      <c r="B16" s="58"/>
      <c r="C16" s="58"/>
      <c r="D16" s="58"/>
      <c r="E16" s="71"/>
      <c r="F16" s="72"/>
      <c r="G16" s="73"/>
      <c r="H16" s="83"/>
      <c r="I16" s="83"/>
      <c r="J16" s="83"/>
      <c r="K16" s="83"/>
      <c r="L16" s="83"/>
      <c r="M16" s="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 x14ac:dyDescent="0.25">
      <c r="A17" s="53" t="s">
        <v>106</v>
      </c>
      <c r="B17" s="58"/>
      <c r="C17" s="58"/>
      <c r="D17" s="58"/>
      <c r="E17" s="71"/>
      <c r="F17" s="72"/>
      <c r="G17" s="73"/>
      <c r="H17" s="83"/>
      <c r="I17" s="83"/>
      <c r="J17" s="83"/>
      <c r="K17" s="83"/>
      <c r="L17" s="83"/>
      <c r="M17" s="5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.75" customHeight="1" x14ac:dyDescent="0.25">
      <c r="A18" s="49">
        <v>44522</v>
      </c>
      <c r="B18" s="56">
        <v>3578.94</v>
      </c>
      <c r="C18" s="56"/>
      <c r="D18" s="56"/>
      <c r="E18" s="69"/>
      <c r="F18" s="74"/>
      <c r="G18" s="69">
        <f>SUM(B18:F18)</f>
        <v>3578.94</v>
      </c>
      <c r="H18" s="56">
        <v>338.47</v>
      </c>
      <c r="I18" s="56">
        <v>102.83</v>
      </c>
      <c r="J18" s="56">
        <f>62.15+2.47+384.11</f>
        <v>448.73</v>
      </c>
      <c r="K18" s="56">
        <f>H18+I18+J18</f>
        <v>890.03</v>
      </c>
      <c r="L18" s="56">
        <f>G18-K18</f>
        <v>2688.91</v>
      </c>
      <c r="M18" s="5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.75" customHeight="1" x14ac:dyDescent="0.25">
      <c r="A19" s="3" t="s">
        <v>107</v>
      </c>
      <c r="B19" s="54"/>
      <c r="C19" s="54"/>
      <c r="D19" s="54"/>
      <c r="E19" s="66"/>
      <c r="F19" s="66"/>
      <c r="G19" s="66"/>
      <c r="H19" s="54"/>
      <c r="I19" s="54"/>
      <c r="J19" s="54"/>
      <c r="K19" s="54"/>
      <c r="L19" s="54"/>
      <c r="M19" s="5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.75" customHeight="1" x14ac:dyDescent="0.25">
      <c r="A20" s="5" t="s">
        <v>108</v>
      </c>
      <c r="B20" s="54"/>
      <c r="C20" s="54"/>
      <c r="D20" s="54"/>
      <c r="E20" s="66"/>
      <c r="F20" s="66"/>
      <c r="G20" s="66"/>
      <c r="H20" s="54"/>
      <c r="I20" s="54"/>
      <c r="J20" s="54"/>
      <c r="K20" s="54"/>
      <c r="L20" s="54"/>
      <c r="M20" s="5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x14ac:dyDescent="0.25">
      <c r="A21" s="49">
        <v>44207</v>
      </c>
      <c r="B21" s="56">
        <v>1797.58</v>
      </c>
      <c r="C21" s="56"/>
      <c r="D21" s="56"/>
      <c r="E21" s="69"/>
      <c r="F21" s="74"/>
      <c r="G21" s="69">
        <f>SUM(B21:F21)</f>
        <v>1797.58</v>
      </c>
      <c r="H21" s="56">
        <v>143.6</v>
      </c>
      <c r="I21" s="59"/>
      <c r="J21" s="56">
        <f>62.15+2.34+168.72+26.71</f>
        <v>259.91999999999996</v>
      </c>
      <c r="K21" s="56">
        <f>SUM(H21:J21)</f>
        <v>403.52</v>
      </c>
      <c r="L21" s="56">
        <f>G21-K21</f>
        <v>1394.06</v>
      </c>
      <c r="M21" s="5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x14ac:dyDescent="0.25">
      <c r="A22" s="3" t="s">
        <v>145</v>
      </c>
      <c r="B22" s="54"/>
      <c r="C22" s="54"/>
      <c r="D22" s="54"/>
      <c r="E22" s="66"/>
      <c r="F22" s="66"/>
      <c r="G22" s="66"/>
      <c r="H22" s="54"/>
      <c r="I22" s="54"/>
      <c r="J22" s="54"/>
      <c r="K22" s="54"/>
      <c r="L22" s="54"/>
      <c r="M22" s="5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5" t="s">
        <v>146</v>
      </c>
      <c r="B23" s="54"/>
      <c r="C23" s="54"/>
      <c r="D23" s="54"/>
      <c r="E23" s="66"/>
      <c r="F23" s="66"/>
      <c r="G23" s="66"/>
      <c r="H23" s="54"/>
      <c r="I23" s="54"/>
      <c r="J23" s="54"/>
      <c r="K23" s="54"/>
      <c r="L23" s="54"/>
      <c r="M23" s="5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x14ac:dyDescent="0.25">
      <c r="A24" s="49">
        <v>44608</v>
      </c>
      <c r="B24" s="56">
        <v>4000</v>
      </c>
      <c r="C24" s="56"/>
      <c r="D24" s="56"/>
      <c r="E24" s="69"/>
      <c r="F24" s="74"/>
      <c r="G24" s="69">
        <f>SUM(B24:F24)</f>
        <v>4000</v>
      </c>
      <c r="H24" s="56">
        <v>396.17</v>
      </c>
      <c r="I24" s="59">
        <v>157.34</v>
      </c>
      <c r="J24" s="56">
        <f>62.15+2.47</f>
        <v>64.62</v>
      </c>
      <c r="K24" s="56">
        <f>SUM(H24:J24)</f>
        <v>618.13</v>
      </c>
      <c r="L24" s="56">
        <f>G24-K24</f>
        <v>3381.87</v>
      </c>
      <c r="M24" s="5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x14ac:dyDescent="0.25">
      <c r="A25" s="3" t="s">
        <v>109</v>
      </c>
      <c r="B25" s="54"/>
      <c r="C25" s="54"/>
      <c r="D25" s="54"/>
      <c r="E25" s="66"/>
      <c r="F25" s="66"/>
      <c r="G25" s="66"/>
      <c r="H25" s="54"/>
      <c r="I25" s="54"/>
      <c r="J25" s="54"/>
      <c r="K25" s="54"/>
      <c r="L25" s="54"/>
      <c r="M25" s="5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5" t="s">
        <v>110</v>
      </c>
      <c r="B26" s="54"/>
      <c r="C26" s="54"/>
      <c r="D26" s="54"/>
      <c r="E26" s="66"/>
      <c r="F26" s="66"/>
      <c r="G26" s="66"/>
      <c r="H26" s="54"/>
      <c r="I26" s="54"/>
      <c r="J26" s="54"/>
      <c r="K26" s="54"/>
      <c r="L26" s="54"/>
      <c r="M26" s="5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x14ac:dyDescent="0.25">
      <c r="A27" s="49">
        <v>43739</v>
      </c>
      <c r="B27" s="56">
        <v>3829.46</v>
      </c>
      <c r="C27" s="56"/>
      <c r="D27" s="56"/>
      <c r="E27" s="69"/>
      <c r="F27" s="87"/>
      <c r="G27" s="69">
        <f>SUM(B27:F27)</f>
        <v>3829.46</v>
      </c>
      <c r="H27" s="56">
        <v>372.3</v>
      </c>
      <c r="I27" s="59">
        <v>163.77000000000001</v>
      </c>
      <c r="J27" s="56">
        <f>62.15+2.34+554.28+53.42</f>
        <v>672.18999999999994</v>
      </c>
      <c r="K27" s="56">
        <f>SUM(H27:J27)</f>
        <v>1208.26</v>
      </c>
      <c r="L27" s="56">
        <f>G27-K27</f>
        <v>2621.1999999999998</v>
      </c>
      <c r="M27" s="5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4.25" customHeight="1" x14ac:dyDescent="0.25">
      <c r="A28" s="8" t="s">
        <v>111</v>
      </c>
      <c r="B28" s="54"/>
      <c r="C28" s="54"/>
      <c r="D28" s="54"/>
      <c r="E28" s="66"/>
      <c r="F28" s="66"/>
      <c r="G28" s="66"/>
      <c r="H28" s="54"/>
      <c r="I28" s="54"/>
      <c r="J28" s="54"/>
      <c r="K28" s="54"/>
      <c r="L28" s="54"/>
      <c r="M28" s="5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4.25" customHeight="1" x14ac:dyDescent="0.25">
      <c r="A29" s="10" t="s">
        <v>100</v>
      </c>
      <c r="B29" s="54"/>
      <c r="C29" s="54"/>
      <c r="D29" s="54"/>
      <c r="E29" s="66"/>
      <c r="F29" s="66"/>
      <c r="G29" s="66"/>
      <c r="H29" s="54"/>
      <c r="I29" s="54"/>
      <c r="J29" s="54"/>
      <c r="K29" s="54"/>
      <c r="L29" s="54"/>
      <c r="M29" s="5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4.25" customHeight="1" x14ac:dyDescent="0.25">
      <c r="A30" s="6">
        <v>43648</v>
      </c>
      <c r="B30" s="55">
        <v>1923.41</v>
      </c>
      <c r="C30" s="55"/>
      <c r="D30" s="55"/>
      <c r="E30" s="67"/>
      <c r="F30" s="68"/>
      <c r="G30" s="69">
        <f>SUM(B30:F30)</f>
        <v>1923.41</v>
      </c>
      <c r="H30" s="56">
        <v>154.91999999999999</v>
      </c>
      <c r="I30" s="56"/>
      <c r="J30" s="56">
        <f>62.15+2.47</f>
        <v>64.62</v>
      </c>
      <c r="K30" s="56">
        <f>SUM(H30:J30)</f>
        <v>219.54</v>
      </c>
      <c r="L30" s="56">
        <f>G30-K30</f>
        <v>1703.8700000000001</v>
      </c>
      <c r="M30" s="5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 x14ac:dyDescent="0.25">
      <c r="A31" s="8" t="s">
        <v>112</v>
      </c>
      <c r="B31" s="54"/>
      <c r="C31" s="54"/>
      <c r="D31" s="54"/>
      <c r="E31" s="66"/>
      <c r="F31" s="66"/>
      <c r="G31" s="66"/>
      <c r="H31" s="54"/>
      <c r="I31" s="54"/>
      <c r="J31" s="54"/>
      <c r="K31" s="54"/>
      <c r="L31" s="54"/>
      <c r="M31" s="5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 x14ac:dyDescent="0.25">
      <c r="A32" s="10" t="s">
        <v>113</v>
      </c>
      <c r="B32" s="54"/>
      <c r="C32" s="54"/>
      <c r="D32" s="54"/>
      <c r="E32" s="66"/>
      <c r="F32" s="66"/>
      <c r="G32" s="66"/>
      <c r="H32" s="54"/>
      <c r="I32" s="54"/>
      <c r="J32" s="54"/>
      <c r="K32" s="54"/>
      <c r="L32" s="54"/>
      <c r="M32" s="5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 x14ac:dyDescent="0.25">
      <c r="A33" s="6">
        <v>44580</v>
      </c>
      <c r="B33" s="55">
        <v>3578.94</v>
      </c>
      <c r="C33" s="55"/>
      <c r="D33" s="55"/>
      <c r="E33" s="67"/>
      <c r="F33" s="68"/>
      <c r="G33" s="69">
        <f>SUM(B33:F33)</f>
        <v>3578.94</v>
      </c>
      <c r="H33" s="56">
        <v>338.47</v>
      </c>
      <c r="I33" s="56">
        <v>131.27000000000001</v>
      </c>
      <c r="J33" s="56">
        <f>62.15+2.34+178.06+80.13</f>
        <v>322.68</v>
      </c>
      <c r="K33" s="56">
        <f>SUM(H33:J33)</f>
        <v>792.42000000000007</v>
      </c>
      <c r="L33" s="56">
        <f>G33-K33</f>
        <v>2786.52</v>
      </c>
      <c r="M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 x14ac:dyDescent="0.25">
      <c r="A34" s="3" t="s">
        <v>114</v>
      </c>
      <c r="B34" s="84"/>
      <c r="C34" s="84"/>
      <c r="D34" s="84"/>
      <c r="E34" s="75"/>
      <c r="F34" s="75"/>
      <c r="G34" s="75"/>
      <c r="H34" s="84"/>
      <c r="I34" s="84"/>
      <c r="J34" s="84"/>
      <c r="K34" s="84"/>
      <c r="L34" s="84"/>
      <c r="M34" s="5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 x14ac:dyDescent="0.25">
      <c r="A35" s="5" t="s">
        <v>100</v>
      </c>
      <c r="B35" s="57"/>
      <c r="C35" s="57"/>
      <c r="D35" s="57"/>
      <c r="E35" s="70"/>
      <c r="F35" s="70"/>
      <c r="G35" s="66"/>
      <c r="H35" s="54"/>
      <c r="I35" s="54"/>
      <c r="J35" s="54"/>
      <c r="K35" s="54"/>
      <c r="L35" s="54"/>
      <c r="M35" s="5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 x14ac:dyDescent="0.25">
      <c r="A36" s="6">
        <v>43325</v>
      </c>
      <c r="B36" s="55">
        <v>1923.41</v>
      </c>
      <c r="C36" s="55"/>
      <c r="D36" s="55"/>
      <c r="E36" s="67"/>
      <c r="F36" s="68"/>
      <c r="G36" s="69">
        <f>SUM(B36:F36)</f>
        <v>1923.41</v>
      </c>
      <c r="H36" s="59">
        <v>154.91999999999999</v>
      </c>
      <c r="I36" s="56"/>
      <c r="J36" s="59">
        <f>62.15+2.47+90.21+26.71</f>
        <v>181.54</v>
      </c>
      <c r="K36" s="56">
        <f>SUM(H36:J36)</f>
        <v>336.46</v>
      </c>
      <c r="L36" s="56">
        <f>G36-K36</f>
        <v>1586.95</v>
      </c>
      <c r="M36" s="5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 x14ac:dyDescent="0.25">
      <c r="A37" s="8" t="s">
        <v>115</v>
      </c>
      <c r="B37" s="57"/>
      <c r="C37" s="57"/>
      <c r="D37" s="57"/>
      <c r="E37" s="70"/>
      <c r="F37" s="70"/>
      <c r="G37" s="66"/>
      <c r="H37" s="54"/>
      <c r="I37" s="54"/>
      <c r="J37" s="54"/>
      <c r="K37" s="54"/>
      <c r="L37" s="54"/>
      <c r="M37" s="5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 x14ac:dyDescent="0.25">
      <c r="A38" s="10" t="s">
        <v>116</v>
      </c>
      <c r="B38" s="57"/>
      <c r="C38" s="57"/>
      <c r="D38" s="57"/>
      <c r="E38" s="70"/>
      <c r="F38" s="70"/>
      <c r="G38" s="66"/>
      <c r="H38" s="54"/>
      <c r="I38" s="54"/>
      <c r="J38" s="54"/>
      <c r="K38" s="54"/>
      <c r="L38" s="54"/>
      <c r="M38" s="5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 x14ac:dyDescent="0.25">
      <c r="A39" s="6">
        <v>43325</v>
      </c>
      <c r="B39" s="55">
        <v>1923.41</v>
      </c>
      <c r="C39" s="55"/>
      <c r="D39" s="55"/>
      <c r="E39" s="67"/>
      <c r="F39" s="68">
        <v>961.71</v>
      </c>
      <c r="G39" s="69">
        <f>SUM(B39:F39)</f>
        <v>2885.12</v>
      </c>
      <c r="H39" s="56">
        <v>154.91999999999999</v>
      </c>
      <c r="I39" s="56"/>
      <c r="J39" s="56">
        <f>19.23+62.15+2.6+755.73</f>
        <v>839.71</v>
      </c>
      <c r="K39" s="56">
        <f>H39+I39+J39</f>
        <v>994.63</v>
      </c>
      <c r="L39" s="56">
        <f>G39-K39</f>
        <v>1890.4899999999998</v>
      </c>
      <c r="M39" s="5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 x14ac:dyDescent="0.25">
      <c r="A40" s="8" t="s">
        <v>117</v>
      </c>
      <c r="B40" s="54"/>
      <c r="C40" s="54"/>
      <c r="D40" s="54"/>
      <c r="E40" s="66"/>
      <c r="F40" s="66"/>
      <c r="G40" s="66"/>
      <c r="H40" s="54"/>
      <c r="I40" s="54"/>
      <c r="J40" s="54"/>
      <c r="K40" s="54"/>
      <c r="L40" s="54"/>
      <c r="M40" s="5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 x14ac:dyDescent="0.25">
      <c r="A41" s="5" t="s">
        <v>100</v>
      </c>
      <c r="B41" s="54"/>
      <c r="C41" s="54"/>
      <c r="D41" s="54"/>
      <c r="E41" s="66"/>
      <c r="F41" s="66"/>
      <c r="G41" s="66"/>
      <c r="H41" s="54"/>
      <c r="I41" s="54"/>
      <c r="J41" s="54"/>
      <c r="K41" s="54"/>
      <c r="L41" s="54"/>
      <c r="M41" s="5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 x14ac:dyDescent="0.25">
      <c r="A42" s="51">
        <v>43479</v>
      </c>
      <c r="B42" s="56">
        <v>1923.41</v>
      </c>
      <c r="C42" s="56"/>
      <c r="D42" s="56"/>
      <c r="E42" s="69"/>
      <c r="F42" s="74">
        <v>961.71</v>
      </c>
      <c r="G42" s="69">
        <f>SUM(B42:F42)</f>
        <v>2885.12</v>
      </c>
      <c r="H42" s="56">
        <v>154.91999999999999</v>
      </c>
      <c r="I42" s="56"/>
      <c r="J42" s="56">
        <f>19.23+62.15+2.6+677.57</f>
        <v>761.55000000000007</v>
      </c>
      <c r="K42" s="56">
        <f>H42+I42+J42</f>
        <v>916.47</v>
      </c>
      <c r="L42" s="56">
        <f>G42-K42</f>
        <v>1968.6499999999999</v>
      </c>
      <c r="M42" s="5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 x14ac:dyDescent="0.25">
      <c r="A43" s="8" t="s">
        <v>118</v>
      </c>
      <c r="B43" s="83"/>
      <c r="C43" s="83"/>
      <c r="D43" s="83"/>
      <c r="E43" s="73"/>
      <c r="F43" s="103"/>
      <c r="G43" s="73"/>
      <c r="H43" s="83"/>
      <c r="I43" s="83"/>
      <c r="J43" s="83"/>
      <c r="K43" s="83"/>
      <c r="L43" s="83"/>
      <c r="M43" s="5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 x14ac:dyDescent="0.25">
      <c r="A44" s="5" t="s">
        <v>119</v>
      </c>
      <c r="B44" s="54"/>
      <c r="C44" s="54"/>
      <c r="D44" s="54"/>
      <c r="E44" s="66"/>
      <c r="F44" s="66"/>
      <c r="G44" s="66"/>
      <c r="H44" s="54"/>
      <c r="I44" s="54"/>
      <c r="J44" s="54"/>
      <c r="K44" s="54"/>
      <c r="L44" s="54"/>
      <c r="M44" s="5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 customHeight="1" thickBot="1" x14ac:dyDescent="0.3">
      <c r="A45" s="51">
        <v>44341</v>
      </c>
      <c r="B45" s="56">
        <v>1797.58</v>
      </c>
      <c r="C45" s="56"/>
      <c r="D45" s="56"/>
      <c r="E45" s="69"/>
      <c r="F45" s="74"/>
      <c r="G45" s="69">
        <f>SUM(B45:F45)</f>
        <v>1797.58</v>
      </c>
      <c r="H45" s="56">
        <v>143.6</v>
      </c>
      <c r="I45" s="56"/>
      <c r="J45" s="56">
        <f>62.15+2.6+133.55</f>
        <v>198.3</v>
      </c>
      <c r="K45" s="56">
        <f>H45+I45+J45</f>
        <v>341.9</v>
      </c>
      <c r="L45" s="56">
        <f>G45-K45</f>
        <v>1455.6799999999998</v>
      </c>
      <c r="M45" s="5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.75" customHeight="1" thickTop="1" x14ac:dyDescent="0.25">
      <c r="A46" s="238" t="s">
        <v>159</v>
      </c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5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 customHeight="1" thickBot="1" x14ac:dyDescent="0.3">
      <c r="A47" s="109" t="s">
        <v>57</v>
      </c>
      <c r="B47" s="110">
        <v>2022</v>
      </c>
      <c r="C47" s="111"/>
      <c r="D47" s="111"/>
      <c r="E47" s="112"/>
      <c r="F47" s="112"/>
      <c r="G47" s="112"/>
      <c r="H47" s="111"/>
      <c r="I47" s="111"/>
      <c r="J47" s="111"/>
      <c r="K47" s="111"/>
      <c r="L47" s="111"/>
      <c r="M47" s="5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customHeight="1" x14ac:dyDescent="0.25">
      <c r="A48" s="106" t="s">
        <v>2</v>
      </c>
      <c r="B48" s="248" t="s">
        <v>3</v>
      </c>
      <c r="C48" s="248" t="s">
        <v>92</v>
      </c>
      <c r="D48" s="251" t="s">
        <v>93</v>
      </c>
      <c r="E48" s="252" t="s">
        <v>8</v>
      </c>
      <c r="F48" s="254" t="s">
        <v>94</v>
      </c>
      <c r="G48" s="254" t="s">
        <v>9</v>
      </c>
      <c r="H48" s="248" t="s">
        <v>11</v>
      </c>
      <c r="I48" s="248" t="s">
        <v>95</v>
      </c>
      <c r="J48" s="251" t="s">
        <v>12</v>
      </c>
      <c r="K48" s="251" t="s">
        <v>13</v>
      </c>
      <c r="L48" s="251" t="s">
        <v>14</v>
      </c>
      <c r="M48" s="5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x14ac:dyDescent="0.25">
      <c r="A49" s="107" t="s">
        <v>15</v>
      </c>
      <c r="B49" s="249"/>
      <c r="C49" s="249"/>
      <c r="D49" s="249"/>
      <c r="E49" s="252"/>
      <c r="F49" s="249"/>
      <c r="G49" s="249"/>
      <c r="H49" s="249"/>
      <c r="I49" s="249"/>
      <c r="J49" s="249"/>
      <c r="K49" s="249"/>
      <c r="L49" s="249"/>
      <c r="M49" s="5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thickBot="1" x14ac:dyDescent="0.3">
      <c r="A50" s="108" t="s">
        <v>16</v>
      </c>
      <c r="B50" s="250"/>
      <c r="C50" s="250"/>
      <c r="D50" s="250"/>
      <c r="E50" s="253"/>
      <c r="F50" s="250"/>
      <c r="G50" s="250"/>
      <c r="H50" s="250"/>
      <c r="I50" s="250"/>
      <c r="J50" s="250"/>
      <c r="K50" s="250"/>
      <c r="L50" s="250"/>
      <c r="M50" s="5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thickTop="1" thickBot="1" x14ac:dyDescent="0.3">
      <c r="A51" s="28" t="s">
        <v>120</v>
      </c>
      <c r="B51" s="235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thickTop="1" x14ac:dyDescent="0.25">
      <c r="A52" s="8" t="s">
        <v>121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x14ac:dyDescent="0.25">
      <c r="A53" s="53" t="s">
        <v>122</v>
      </c>
      <c r="B53" s="58"/>
      <c r="C53" s="58"/>
      <c r="D53" s="58"/>
      <c r="E53" s="71"/>
      <c r="F53" s="71"/>
      <c r="G53" s="73"/>
      <c r="H53" s="83"/>
      <c r="I53" s="83"/>
      <c r="J53" s="83"/>
      <c r="K53" s="83"/>
      <c r="L53" s="83"/>
      <c r="M53" s="5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50">
        <v>38054</v>
      </c>
      <c r="B54" s="55">
        <v>2886.52</v>
      </c>
      <c r="C54" s="55"/>
      <c r="D54" s="55">
        <v>57.73</v>
      </c>
      <c r="E54" s="67">
        <v>1298.94</v>
      </c>
      <c r="F54" s="67"/>
      <c r="G54" s="69">
        <f>SUM(B54:F54)</f>
        <v>4243.1900000000005</v>
      </c>
      <c r="H54" s="56">
        <v>430.22</v>
      </c>
      <c r="I54" s="56">
        <v>221.79</v>
      </c>
      <c r="J54" s="56">
        <f>62.15+2.6+126.81</f>
        <v>191.56</v>
      </c>
      <c r="K54" s="56">
        <f>H54+I54+J54</f>
        <v>843.56999999999994</v>
      </c>
      <c r="L54" s="56">
        <f>G54-K54</f>
        <v>3399.6200000000008</v>
      </c>
      <c r="M54" s="5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x14ac:dyDescent="0.25">
      <c r="A55" s="8" t="s">
        <v>123</v>
      </c>
      <c r="B55" s="58"/>
      <c r="C55" s="58"/>
      <c r="D55" s="58"/>
      <c r="E55" s="71"/>
      <c r="F55" s="71"/>
      <c r="G55" s="73"/>
      <c r="H55" s="83"/>
      <c r="I55" s="83"/>
      <c r="J55" s="83"/>
      <c r="K55" s="83"/>
      <c r="L55" s="83"/>
      <c r="M55" s="5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.75" customHeight="1" x14ac:dyDescent="0.25">
      <c r="A56" s="53" t="s">
        <v>108</v>
      </c>
      <c r="B56" s="58"/>
      <c r="C56" s="58"/>
      <c r="D56" s="58"/>
      <c r="E56" s="71"/>
      <c r="F56" s="71"/>
      <c r="G56" s="73"/>
      <c r="H56" s="83"/>
      <c r="I56" s="83"/>
      <c r="J56" s="83"/>
      <c r="K56" s="83"/>
      <c r="L56" s="83"/>
      <c r="M56" s="5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 customHeight="1" x14ac:dyDescent="0.25">
      <c r="A57" s="50">
        <v>44319</v>
      </c>
      <c r="B57" s="55">
        <v>1797.58</v>
      </c>
      <c r="C57" s="55"/>
      <c r="D57" s="55"/>
      <c r="E57" s="67"/>
      <c r="F57" s="67"/>
      <c r="G57" s="69">
        <f>SUM(B57:F57)</f>
        <v>1797.58</v>
      </c>
      <c r="H57" s="56">
        <v>137.29</v>
      </c>
      <c r="I57" s="56"/>
      <c r="J57" s="56">
        <f>62.15+2.6+70.11+194.44</f>
        <v>329.3</v>
      </c>
      <c r="K57" s="56">
        <f>H57+I57+J57</f>
        <v>466.59000000000003</v>
      </c>
      <c r="L57" s="56">
        <f>G57-K57</f>
        <v>1330.9899999999998</v>
      </c>
      <c r="M57" s="5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 customHeight="1" x14ac:dyDescent="0.25">
      <c r="A58" s="8" t="s">
        <v>124</v>
      </c>
      <c r="B58" s="58"/>
      <c r="C58" s="58"/>
      <c r="D58" s="58"/>
      <c r="E58" s="71"/>
      <c r="F58" s="71"/>
      <c r="G58" s="73"/>
      <c r="H58" s="83"/>
      <c r="I58" s="83"/>
      <c r="J58" s="83"/>
      <c r="K58" s="83"/>
      <c r="L58" s="83"/>
      <c r="M58" s="5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.75" customHeight="1" x14ac:dyDescent="0.25">
      <c r="A59" s="53" t="s">
        <v>116</v>
      </c>
      <c r="B59" s="58"/>
      <c r="C59" s="58"/>
      <c r="D59" s="58"/>
      <c r="E59" s="71"/>
      <c r="F59" s="71"/>
      <c r="G59" s="73"/>
      <c r="H59" s="83"/>
      <c r="I59" s="83"/>
      <c r="J59" s="83"/>
      <c r="K59" s="83"/>
      <c r="L59" s="83"/>
      <c r="M59" s="5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customHeight="1" thickBot="1" x14ac:dyDescent="0.3">
      <c r="A60" s="50">
        <v>43845</v>
      </c>
      <c r="B60" s="55">
        <v>1923.41</v>
      </c>
      <c r="C60" s="55"/>
      <c r="D60" s="55"/>
      <c r="E60" s="67"/>
      <c r="F60" s="67"/>
      <c r="G60" s="69">
        <f>SUM(B60:F60)</f>
        <v>1923.41</v>
      </c>
      <c r="H60" s="56">
        <v>154.91999999999999</v>
      </c>
      <c r="I60" s="56"/>
      <c r="J60" s="56">
        <f>19.23+62.15+2.6+230.35</f>
        <v>314.33</v>
      </c>
      <c r="K60" s="56">
        <f>H60+I60+J60</f>
        <v>469.25</v>
      </c>
      <c r="L60" s="56">
        <f>G60-K60</f>
        <v>1454.16</v>
      </c>
      <c r="M60" s="5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 customHeight="1" thickTop="1" x14ac:dyDescent="0.25">
      <c r="A61" s="8" t="s">
        <v>125</v>
      </c>
      <c r="B61" s="58"/>
      <c r="C61" s="58"/>
      <c r="D61" s="58"/>
      <c r="E61" s="71"/>
      <c r="F61" s="71"/>
      <c r="G61" s="73"/>
      <c r="H61" s="83"/>
      <c r="I61" s="83"/>
      <c r="J61" s="83"/>
      <c r="K61" s="83"/>
      <c r="L61" s="83"/>
      <c r="M61" s="5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 customHeight="1" x14ac:dyDescent="0.25">
      <c r="A62" s="53" t="s">
        <v>126</v>
      </c>
      <c r="B62" s="58"/>
      <c r="C62" s="58"/>
      <c r="D62" s="58"/>
      <c r="E62" s="71"/>
      <c r="F62" s="71"/>
      <c r="G62" s="73"/>
      <c r="H62" s="83"/>
      <c r="I62" s="83"/>
      <c r="J62" s="83"/>
      <c r="K62" s="83"/>
      <c r="L62" s="83"/>
      <c r="M62" s="5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A63" s="50">
        <v>39783</v>
      </c>
      <c r="B63" s="55">
        <v>2886.52</v>
      </c>
      <c r="C63" s="55"/>
      <c r="D63" s="55">
        <v>57.73</v>
      </c>
      <c r="E63" s="67">
        <v>1298.93</v>
      </c>
      <c r="F63" s="67"/>
      <c r="G63" s="69">
        <f>SUM(B63:F63)</f>
        <v>4243.18</v>
      </c>
      <c r="H63" s="56">
        <v>430.22</v>
      </c>
      <c r="I63" s="56">
        <v>221.79</v>
      </c>
      <c r="J63" s="56">
        <f>62.15+1.69+489.1+80.13</f>
        <v>633.07000000000005</v>
      </c>
      <c r="K63" s="56">
        <f>H63+I63+J63</f>
        <v>1285.08</v>
      </c>
      <c r="L63" s="56">
        <f>G63-K63</f>
        <v>2958.1000000000004</v>
      </c>
      <c r="M63" s="5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25">
      <c r="A64" s="3" t="s">
        <v>127</v>
      </c>
      <c r="B64" s="57"/>
      <c r="C64" s="60"/>
      <c r="D64" s="60"/>
      <c r="E64" s="76"/>
      <c r="F64" s="77"/>
      <c r="G64" s="78"/>
      <c r="H64" s="61"/>
      <c r="I64" s="61"/>
      <c r="J64" s="61"/>
      <c r="K64" s="61"/>
      <c r="L64" s="61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x14ac:dyDescent="0.25">
      <c r="A65" s="5" t="s">
        <v>116</v>
      </c>
      <c r="B65" s="57"/>
      <c r="C65" s="60"/>
      <c r="D65" s="60"/>
      <c r="E65" s="76"/>
      <c r="F65" s="77"/>
      <c r="G65" s="78"/>
      <c r="H65" s="61"/>
      <c r="I65" s="61"/>
      <c r="J65" s="61"/>
      <c r="K65" s="61"/>
      <c r="L65" s="61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A66" s="50">
        <v>43325</v>
      </c>
      <c r="B66" s="55">
        <v>1923.41</v>
      </c>
      <c r="C66" s="55"/>
      <c r="D66" s="55"/>
      <c r="E66" s="67"/>
      <c r="F66" s="67"/>
      <c r="G66" s="69">
        <f>SUM(B66:F66)</f>
        <v>1923.41</v>
      </c>
      <c r="H66" s="56">
        <v>154.91999999999999</v>
      </c>
      <c r="I66" s="56"/>
      <c r="J66" s="56">
        <f>62.15+2.6+66.85+26.71</f>
        <v>158.31</v>
      </c>
      <c r="K66" s="56">
        <f>H66+I66+J66</f>
        <v>313.23</v>
      </c>
      <c r="L66" s="56">
        <f>G66-K66</f>
        <v>1610.18</v>
      </c>
      <c r="M66" s="5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25">
      <c r="A67" s="3" t="s">
        <v>155</v>
      </c>
      <c r="B67" s="57"/>
      <c r="C67" s="60"/>
      <c r="D67" s="60"/>
      <c r="E67" s="76"/>
      <c r="F67" s="77"/>
      <c r="G67" s="78"/>
      <c r="H67" s="61"/>
      <c r="I67" s="61"/>
      <c r="J67" s="61"/>
      <c r="K67" s="61"/>
      <c r="L67" s="61"/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x14ac:dyDescent="0.25">
      <c r="A68" s="5" t="s">
        <v>156</v>
      </c>
      <c r="B68" s="57"/>
      <c r="C68" s="60"/>
      <c r="D68" s="60"/>
      <c r="E68" s="76"/>
      <c r="F68" s="77"/>
      <c r="G68" s="78"/>
      <c r="H68" s="61"/>
      <c r="I68" s="61"/>
      <c r="J68" s="61"/>
      <c r="K68" s="61"/>
      <c r="L68" s="61"/>
      <c r="M68" s="5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50">
        <v>44686</v>
      </c>
      <c r="B69" s="55">
        <v>1797.58</v>
      </c>
      <c r="C69" s="55"/>
      <c r="D69" s="55"/>
      <c r="E69" s="67"/>
      <c r="F69" s="67"/>
      <c r="G69" s="69">
        <f>SUM(B69:F69)</f>
        <v>1797.58</v>
      </c>
      <c r="H69" s="56">
        <v>143.6</v>
      </c>
      <c r="I69" s="56"/>
      <c r="J69" s="56">
        <f>62.15+2.6</f>
        <v>64.75</v>
      </c>
      <c r="K69" s="56">
        <f>H69+I69+J69</f>
        <v>208.35</v>
      </c>
      <c r="L69" s="56">
        <f>G69-K69</f>
        <v>1589.23</v>
      </c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25">
      <c r="A70" s="8" t="s">
        <v>128</v>
      </c>
      <c r="B70" s="57"/>
      <c r="C70" s="57"/>
      <c r="D70" s="57"/>
      <c r="E70" s="70"/>
      <c r="F70" s="70"/>
      <c r="G70" s="66"/>
      <c r="H70" s="54"/>
      <c r="I70" s="54"/>
      <c r="J70" s="54"/>
      <c r="K70" s="54"/>
      <c r="L70" s="54"/>
      <c r="M70" s="5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25">
      <c r="A71" s="10" t="s">
        <v>116</v>
      </c>
      <c r="B71" s="57"/>
      <c r="C71" s="57"/>
      <c r="D71" s="57"/>
      <c r="E71" s="70"/>
      <c r="F71" s="70"/>
      <c r="G71" s="66"/>
      <c r="H71" s="54"/>
      <c r="I71" s="54"/>
      <c r="J71" s="54"/>
      <c r="K71" s="54"/>
      <c r="L71" s="54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x14ac:dyDescent="0.25">
      <c r="A72" s="6">
        <v>43325</v>
      </c>
      <c r="B72" s="55">
        <v>1923.41</v>
      </c>
      <c r="C72" s="55"/>
      <c r="D72" s="55"/>
      <c r="E72" s="67">
        <v>865.53</v>
      </c>
      <c r="F72" s="68"/>
      <c r="G72" s="69">
        <f>SUM(B72:F72)</f>
        <v>2788.94</v>
      </c>
      <c r="H72" s="56">
        <v>243.67</v>
      </c>
      <c r="I72" s="56">
        <v>48.1</v>
      </c>
      <c r="J72" s="56">
        <f>19.23+62.15+2.47+351.53</f>
        <v>435.38</v>
      </c>
      <c r="K72" s="56">
        <f>H72+I72+J72</f>
        <v>727.15</v>
      </c>
      <c r="L72" s="56">
        <f>G72-K72</f>
        <v>2061.79</v>
      </c>
      <c r="M72" s="5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x14ac:dyDescent="0.25">
      <c r="A73" s="28" t="s">
        <v>129</v>
      </c>
      <c r="B73" s="235"/>
      <c r="C73" s="236"/>
      <c r="D73" s="236"/>
      <c r="E73" s="236"/>
      <c r="F73" s="236"/>
      <c r="G73" s="236"/>
      <c r="H73" s="236"/>
      <c r="I73" s="236"/>
      <c r="J73" s="236"/>
      <c r="K73" s="236"/>
      <c r="L73" s="236"/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25">
      <c r="A74" s="3" t="s">
        <v>130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5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x14ac:dyDescent="0.25">
      <c r="A75" s="5" t="s">
        <v>131</v>
      </c>
      <c r="B75" s="57"/>
      <c r="C75" s="60"/>
      <c r="D75" s="60"/>
      <c r="E75" s="76"/>
      <c r="F75" s="77"/>
      <c r="G75" s="78"/>
      <c r="H75" s="61"/>
      <c r="I75" s="61"/>
      <c r="J75" s="61"/>
      <c r="K75" s="61"/>
      <c r="L75" s="61"/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x14ac:dyDescent="0.25">
      <c r="A76" s="50">
        <v>44509</v>
      </c>
      <c r="B76" s="55">
        <v>2663.52</v>
      </c>
      <c r="C76" s="55"/>
      <c r="D76" s="55"/>
      <c r="E76" s="67"/>
      <c r="F76" s="67"/>
      <c r="G76" s="69">
        <f>SUM(B76:F76)</f>
        <v>2663.52</v>
      </c>
      <c r="H76" s="56">
        <v>228.62</v>
      </c>
      <c r="I76" s="56">
        <v>39.82</v>
      </c>
      <c r="J76" s="56">
        <f>26.64+62.15+2.47</f>
        <v>91.259999999999991</v>
      </c>
      <c r="K76" s="56">
        <f>H76+I76+J76</f>
        <v>359.7</v>
      </c>
      <c r="L76" s="56">
        <f>G76-K76</f>
        <v>2303.8200000000002</v>
      </c>
      <c r="M76" s="5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25">
      <c r="A77" s="8" t="s">
        <v>132</v>
      </c>
      <c r="B77" s="12"/>
      <c r="C77" s="12"/>
      <c r="D77" s="12"/>
      <c r="E77" s="12"/>
      <c r="F77" s="12"/>
      <c r="G77" s="23"/>
      <c r="H77" s="23"/>
      <c r="I77" s="23"/>
      <c r="J77" s="23"/>
      <c r="K77" s="23"/>
      <c r="L77" s="23"/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x14ac:dyDescent="0.25">
      <c r="A78" s="5" t="s">
        <v>133</v>
      </c>
      <c r="B78" s="57"/>
      <c r="C78" s="57"/>
      <c r="D78" s="57"/>
      <c r="E78" s="70"/>
      <c r="F78" s="70"/>
      <c r="G78" s="66"/>
      <c r="H78" s="54"/>
      <c r="I78" s="54"/>
      <c r="J78" s="54"/>
      <c r="K78" s="54"/>
      <c r="L78" s="54"/>
      <c r="M78" s="52"/>
      <c r="N78" s="1"/>
      <c r="O78" s="1"/>
      <c r="P78" s="34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6.5" customHeight="1" x14ac:dyDescent="0.25">
      <c r="A79" s="6">
        <v>43325</v>
      </c>
      <c r="B79" s="55">
        <v>2482.2199999999998</v>
      </c>
      <c r="C79" s="55">
        <v>788.32</v>
      </c>
      <c r="D79" s="55"/>
      <c r="E79" s="67">
        <v>1117</v>
      </c>
      <c r="F79" s="68"/>
      <c r="G79" s="69">
        <f>SUM(B79:F79)</f>
        <v>4387.54</v>
      </c>
      <c r="H79" s="56">
        <v>483.36</v>
      </c>
      <c r="I79" s="56">
        <v>173.95</v>
      </c>
      <c r="J79" s="56">
        <f>28.5+62.15+2.34+26.71</f>
        <v>119.70000000000002</v>
      </c>
      <c r="K79" s="56">
        <f>H79+I79+J79</f>
        <v>777.01</v>
      </c>
      <c r="L79" s="56">
        <f>G79-K79</f>
        <v>3610.5299999999997</v>
      </c>
      <c r="M79" s="5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 x14ac:dyDescent="0.25">
      <c r="A80" s="28" t="s">
        <v>134</v>
      </c>
      <c r="B80" s="235"/>
      <c r="C80" s="236"/>
      <c r="D80" s="236"/>
      <c r="E80" s="236"/>
      <c r="F80" s="236"/>
      <c r="G80" s="236"/>
      <c r="H80" s="236"/>
      <c r="I80" s="236"/>
      <c r="J80" s="236"/>
      <c r="K80" s="236"/>
      <c r="L80" s="236"/>
      <c r="M80" s="5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x14ac:dyDescent="0.25">
      <c r="A81" s="8" t="s">
        <v>135</v>
      </c>
      <c r="B81" s="12"/>
      <c r="C81" s="12"/>
      <c r="D81" s="12"/>
      <c r="E81" s="12"/>
      <c r="F81" s="12"/>
      <c r="G81" s="23"/>
      <c r="H81" s="23"/>
      <c r="I81" s="23"/>
      <c r="J81" s="23"/>
      <c r="K81" s="23"/>
      <c r="L81" s="23"/>
      <c r="M81" s="5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x14ac:dyDescent="0.25">
      <c r="A82" s="5" t="s">
        <v>136</v>
      </c>
      <c r="B82" s="57"/>
      <c r="C82" s="57"/>
      <c r="D82" s="57"/>
      <c r="E82" s="70"/>
      <c r="F82" s="70"/>
      <c r="G82" s="66"/>
      <c r="H82" s="54"/>
      <c r="I82" s="54"/>
      <c r="J82" s="54"/>
      <c r="K82" s="54"/>
      <c r="L82" s="54"/>
      <c r="M82" s="52"/>
      <c r="N82" s="1"/>
      <c r="O82" s="1"/>
      <c r="P82" s="34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6.5" customHeight="1" thickBot="1" x14ac:dyDescent="0.3">
      <c r="A83" s="6">
        <v>43675</v>
      </c>
      <c r="B83" s="55">
        <v>2849.96</v>
      </c>
      <c r="C83" s="55"/>
      <c r="D83" s="55"/>
      <c r="E83" s="67"/>
      <c r="F83" s="68"/>
      <c r="G83" s="69">
        <f>SUM(B83:F83)</f>
        <v>2849.96</v>
      </c>
      <c r="H83" s="56">
        <v>250.99</v>
      </c>
      <c r="I83" s="56">
        <v>52.12</v>
      </c>
      <c r="J83" s="56">
        <f>62.15+2.47+101.47</f>
        <v>166.09</v>
      </c>
      <c r="K83" s="56">
        <f>H83+I83+J83</f>
        <v>469.20000000000005</v>
      </c>
      <c r="L83" s="56">
        <f>G83-K83</f>
        <v>2380.7600000000002</v>
      </c>
      <c r="M83" s="5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 thickTop="1" x14ac:dyDescent="0.25">
      <c r="A84" s="238" t="s">
        <v>159</v>
      </c>
      <c r="B84" s="229"/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5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 thickBot="1" x14ac:dyDescent="0.3">
      <c r="A85" s="109" t="s">
        <v>57</v>
      </c>
      <c r="B85" s="110">
        <v>2022</v>
      </c>
      <c r="C85" s="111"/>
      <c r="D85" s="111"/>
      <c r="E85" s="112"/>
      <c r="F85" s="112"/>
      <c r="G85" s="112"/>
      <c r="H85" s="111"/>
      <c r="I85" s="111"/>
      <c r="J85" s="111"/>
      <c r="K85" s="111"/>
      <c r="L85" s="111"/>
      <c r="M85" s="5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x14ac:dyDescent="0.25">
      <c r="A86" s="106" t="s">
        <v>2</v>
      </c>
      <c r="B86" s="248" t="s">
        <v>3</v>
      </c>
      <c r="C86" s="248" t="s">
        <v>92</v>
      </c>
      <c r="D86" s="251" t="s">
        <v>93</v>
      </c>
      <c r="E86" s="252" t="s">
        <v>8</v>
      </c>
      <c r="F86" s="254" t="s">
        <v>94</v>
      </c>
      <c r="G86" s="254" t="s">
        <v>9</v>
      </c>
      <c r="H86" s="248" t="s">
        <v>11</v>
      </c>
      <c r="I86" s="248" t="s">
        <v>95</v>
      </c>
      <c r="J86" s="251" t="s">
        <v>12</v>
      </c>
      <c r="K86" s="251" t="s">
        <v>13</v>
      </c>
      <c r="L86" s="251" t="s">
        <v>14</v>
      </c>
      <c r="M86" s="5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x14ac:dyDescent="0.25">
      <c r="A87" s="107" t="s">
        <v>15</v>
      </c>
      <c r="B87" s="249"/>
      <c r="C87" s="249"/>
      <c r="D87" s="249"/>
      <c r="E87" s="252"/>
      <c r="F87" s="249"/>
      <c r="G87" s="249"/>
      <c r="H87" s="249"/>
      <c r="I87" s="249"/>
      <c r="J87" s="249"/>
      <c r="K87" s="249"/>
      <c r="L87" s="249"/>
      <c r="M87" s="5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 thickBot="1" x14ac:dyDescent="0.3">
      <c r="A88" s="108" t="s">
        <v>16</v>
      </c>
      <c r="B88" s="250"/>
      <c r="C88" s="250"/>
      <c r="D88" s="250"/>
      <c r="E88" s="253"/>
      <c r="F88" s="250"/>
      <c r="G88" s="250"/>
      <c r="H88" s="250"/>
      <c r="I88" s="250"/>
      <c r="J88" s="250"/>
      <c r="K88" s="250"/>
      <c r="L88" s="250"/>
      <c r="M88" s="5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thickTop="1" x14ac:dyDescent="0.25">
      <c r="A89" s="28" t="s">
        <v>137</v>
      </c>
      <c r="B89" s="235"/>
      <c r="C89" s="236"/>
      <c r="D89" s="236"/>
      <c r="E89" s="236"/>
      <c r="F89" s="236"/>
      <c r="G89" s="236"/>
      <c r="H89" s="236"/>
      <c r="I89" s="236"/>
      <c r="J89" s="236"/>
      <c r="K89" s="236"/>
      <c r="L89" s="236"/>
      <c r="M89" s="5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x14ac:dyDescent="0.25">
      <c r="A90" s="8" t="s">
        <v>138</v>
      </c>
      <c r="B90" s="12"/>
      <c r="C90" s="12"/>
      <c r="D90" s="12"/>
      <c r="E90" s="12"/>
      <c r="F90" s="12"/>
      <c r="G90" s="23"/>
      <c r="H90" s="23"/>
      <c r="I90" s="23"/>
      <c r="J90" s="23"/>
      <c r="K90" s="23"/>
      <c r="L90" s="23"/>
      <c r="M90" s="5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x14ac:dyDescent="0.25">
      <c r="A91" s="5" t="s">
        <v>131</v>
      </c>
      <c r="B91" s="57"/>
      <c r="C91" s="57"/>
      <c r="D91" s="57"/>
      <c r="E91" s="70"/>
      <c r="F91" s="70"/>
      <c r="G91" s="66"/>
      <c r="H91" s="54"/>
      <c r="I91" s="54"/>
      <c r="J91" s="54"/>
      <c r="K91" s="54"/>
      <c r="L91" s="54"/>
      <c r="M91" s="52"/>
      <c r="N91" s="1"/>
      <c r="O91" s="1"/>
      <c r="P91" s="34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6.5" customHeight="1" x14ac:dyDescent="0.25">
      <c r="A92" s="6">
        <v>44516</v>
      </c>
      <c r="B92" s="55">
        <v>2663.52</v>
      </c>
      <c r="C92" s="55"/>
      <c r="D92" s="55"/>
      <c r="E92" s="67"/>
      <c r="F92" s="68"/>
      <c r="G92" s="69">
        <f>SUM(B92:F92)</f>
        <v>2663.52</v>
      </c>
      <c r="H92" s="56">
        <v>228.62</v>
      </c>
      <c r="I92" s="56">
        <v>25.6</v>
      </c>
      <c r="J92" s="56">
        <f>62.15+2.47</f>
        <v>64.62</v>
      </c>
      <c r="K92" s="56">
        <f>H92+I92+J92</f>
        <v>318.84000000000003</v>
      </c>
      <c r="L92" s="56">
        <f>G92-K92</f>
        <v>2344.6799999999998</v>
      </c>
      <c r="M92" s="5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x14ac:dyDescent="0.25">
      <c r="A93" s="8" t="s">
        <v>158</v>
      </c>
      <c r="B93" s="12"/>
      <c r="C93" s="12"/>
      <c r="D93" s="12"/>
      <c r="E93" s="12"/>
      <c r="F93" s="12"/>
      <c r="G93" s="23"/>
      <c r="H93" s="23"/>
      <c r="I93" s="23"/>
      <c r="J93" s="23"/>
      <c r="K93" s="23"/>
      <c r="L93" s="23"/>
      <c r="M93" s="5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 x14ac:dyDescent="0.25">
      <c r="A94" s="5" t="s">
        <v>131</v>
      </c>
      <c r="B94" s="57"/>
      <c r="C94" s="57"/>
      <c r="D94" s="57"/>
      <c r="E94" s="70"/>
      <c r="F94" s="70"/>
      <c r="G94" s="66"/>
      <c r="H94" s="54"/>
      <c r="I94" s="54"/>
      <c r="J94" s="54"/>
      <c r="K94" s="54"/>
      <c r="L94" s="54"/>
      <c r="M94" s="52"/>
      <c r="N94" s="1"/>
      <c r="O94" s="1"/>
      <c r="P94" s="34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6.5" customHeight="1" x14ac:dyDescent="0.25">
      <c r="A95" s="6">
        <v>44739</v>
      </c>
      <c r="B95" s="55">
        <v>2663.52</v>
      </c>
      <c r="C95" s="55"/>
      <c r="D95" s="55"/>
      <c r="E95" s="67"/>
      <c r="F95" s="68"/>
      <c r="G95" s="69">
        <f>SUM(B95:F95)</f>
        <v>2663.52</v>
      </c>
      <c r="H95" s="56">
        <v>228.62</v>
      </c>
      <c r="I95" s="56">
        <v>25.6</v>
      </c>
      <c r="J95" s="56">
        <f>70.44+3.25</f>
        <v>73.69</v>
      </c>
      <c r="K95" s="56">
        <f>SUM(H95:J95)</f>
        <v>327.90999999999997</v>
      </c>
      <c r="L95" s="56">
        <f>G95-K95</f>
        <v>2335.61</v>
      </c>
      <c r="M95" s="5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 x14ac:dyDescent="0.25">
      <c r="A96" s="28" t="s">
        <v>141</v>
      </c>
      <c r="B96" s="235"/>
      <c r="C96" s="236"/>
      <c r="D96" s="236"/>
      <c r="E96" s="236"/>
      <c r="F96" s="236"/>
      <c r="G96" s="236"/>
      <c r="H96" s="236"/>
      <c r="I96" s="236"/>
      <c r="J96" s="236"/>
      <c r="K96" s="236"/>
      <c r="L96" s="236"/>
      <c r="M96" s="5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x14ac:dyDescent="0.25">
      <c r="A97" s="8" t="s">
        <v>160</v>
      </c>
      <c r="B97" s="57"/>
      <c r="C97" s="57"/>
      <c r="D97" s="57"/>
      <c r="E97" s="70"/>
      <c r="F97" s="79"/>
      <c r="G97" s="66"/>
      <c r="H97" s="54"/>
      <c r="I97" s="54"/>
      <c r="J97" s="54"/>
      <c r="K97" s="54"/>
      <c r="L97" s="54"/>
      <c r="M97" s="5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x14ac:dyDescent="0.25">
      <c r="A98" s="10" t="s">
        <v>131</v>
      </c>
      <c r="B98" s="57"/>
      <c r="C98" s="57"/>
      <c r="D98" s="57"/>
      <c r="E98" s="70"/>
      <c r="F98" s="79"/>
      <c r="G98" s="66"/>
      <c r="H98" s="54"/>
      <c r="I98" s="54"/>
      <c r="J98" s="54"/>
      <c r="K98" s="54"/>
      <c r="L98" s="54"/>
      <c r="M98" s="5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25">
      <c r="A99" s="6">
        <v>44767</v>
      </c>
      <c r="B99" s="55">
        <v>601.44000000000005</v>
      </c>
      <c r="C99" s="55"/>
      <c r="D99" s="55"/>
      <c r="E99" s="67"/>
      <c r="F99" s="68"/>
      <c r="G99" s="69">
        <f>SUM(B99:F99)</f>
        <v>601.44000000000005</v>
      </c>
      <c r="H99" s="56">
        <v>45.1</v>
      </c>
      <c r="I99" s="56"/>
      <c r="J99" s="56"/>
      <c r="K99" s="56">
        <f>H99+I99+J99</f>
        <v>45.1</v>
      </c>
      <c r="L99" s="56">
        <f>G99-K99</f>
        <v>556.34</v>
      </c>
      <c r="M99" s="5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x14ac:dyDescent="0.25">
      <c r="A100" s="102"/>
      <c r="B100" s="93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5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x14ac:dyDescent="0.25">
      <c r="A101" s="102"/>
      <c r="B101" s="93"/>
      <c r="C101" s="95"/>
      <c r="D101" s="95"/>
      <c r="E101" s="95"/>
      <c r="F101" s="95"/>
      <c r="G101" s="95"/>
      <c r="H101" s="95"/>
      <c r="I101" s="95"/>
      <c r="J101" s="95"/>
      <c r="K101" s="95"/>
      <c r="L101" s="113"/>
      <c r="M101" s="5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x14ac:dyDescent="0.25">
      <c r="A102" s="102"/>
      <c r="B102" s="93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5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 x14ac:dyDescent="0.25">
      <c r="A103" s="238" t="s">
        <v>159</v>
      </c>
      <c r="B103" s="229"/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  <c r="M103" s="5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 x14ac:dyDescent="0.25">
      <c r="A104" s="94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5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 thickBot="1" x14ac:dyDescent="0.3">
      <c r="A105" s="109" t="s">
        <v>57</v>
      </c>
      <c r="B105" s="110">
        <v>2022</v>
      </c>
      <c r="C105" s="111"/>
      <c r="D105" s="255" t="s">
        <v>53</v>
      </c>
      <c r="E105" s="255"/>
      <c r="F105" s="255"/>
      <c r="G105" s="255"/>
      <c r="H105" s="255"/>
      <c r="I105" s="111"/>
      <c r="J105" s="111"/>
      <c r="K105" s="111"/>
      <c r="L105" s="111"/>
      <c r="M105" s="5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 x14ac:dyDescent="0.25">
      <c r="A106" s="106" t="s">
        <v>2</v>
      </c>
      <c r="B106" s="248" t="s">
        <v>3</v>
      </c>
      <c r="C106" s="248" t="s">
        <v>92</v>
      </c>
      <c r="D106" s="251" t="s">
        <v>93</v>
      </c>
      <c r="E106" s="252" t="s">
        <v>8</v>
      </c>
      <c r="F106" s="254" t="s">
        <v>94</v>
      </c>
      <c r="G106" s="254" t="s">
        <v>9</v>
      </c>
      <c r="H106" s="248" t="s">
        <v>11</v>
      </c>
      <c r="I106" s="248" t="s">
        <v>95</v>
      </c>
      <c r="J106" s="251" t="s">
        <v>12</v>
      </c>
      <c r="K106" s="251" t="s">
        <v>13</v>
      </c>
      <c r="L106" s="251" t="s">
        <v>14</v>
      </c>
      <c r="M106" s="52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customHeight="1" x14ac:dyDescent="0.25">
      <c r="A107" s="107" t="s">
        <v>15</v>
      </c>
      <c r="B107" s="249"/>
      <c r="C107" s="249"/>
      <c r="D107" s="249"/>
      <c r="E107" s="252"/>
      <c r="F107" s="249"/>
      <c r="G107" s="249"/>
      <c r="H107" s="249"/>
      <c r="I107" s="249"/>
      <c r="J107" s="249"/>
      <c r="K107" s="249"/>
      <c r="L107" s="249"/>
      <c r="M107" s="52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.75" customHeight="1" x14ac:dyDescent="0.25">
      <c r="A108" s="108" t="s">
        <v>16</v>
      </c>
      <c r="B108" s="250"/>
      <c r="C108" s="250"/>
      <c r="D108" s="250"/>
      <c r="E108" s="253"/>
      <c r="F108" s="250"/>
      <c r="G108" s="250"/>
      <c r="H108" s="250"/>
      <c r="I108" s="250"/>
      <c r="J108" s="250"/>
      <c r="K108" s="250"/>
      <c r="L108" s="250"/>
      <c r="M108" s="5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.75" customHeight="1" x14ac:dyDescent="0.25">
      <c r="A109" s="8" t="s">
        <v>142</v>
      </c>
      <c r="B109" s="57"/>
      <c r="C109" s="57"/>
      <c r="D109" s="57"/>
      <c r="E109" s="70"/>
      <c r="F109" s="79"/>
      <c r="G109" s="66"/>
      <c r="H109" s="54"/>
      <c r="I109" s="54"/>
      <c r="J109" s="54"/>
      <c r="K109" s="54"/>
      <c r="L109" s="54"/>
      <c r="M109" s="52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5.75" customHeight="1" x14ac:dyDescent="0.25">
      <c r="A110" s="10" t="s">
        <v>131</v>
      </c>
      <c r="B110" s="57"/>
      <c r="D110" s="57"/>
      <c r="E110" s="70"/>
      <c r="F110" s="79"/>
      <c r="G110" s="66"/>
      <c r="H110" s="54"/>
      <c r="I110" s="54"/>
      <c r="J110" s="54"/>
      <c r="K110" s="54"/>
      <c r="L110" s="54"/>
      <c r="M110" s="52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5.75" customHeight="1" x14ac:dyDescent="0.25">
      <c r="A111" s="6">
        <v>44249</v>
      </c>
      <c r="B111" s="55">
        <f>1890.24+1.03+5.33</f>
        <v>1896.6</v>
      </c>
      <c r="C111" s="55">
        <f>518.01+295.95+887.84+1554.03</f>
        <v>3255.83</v>
      </c>
      <c r="D111" s="55"/>
      <c r="E111" s="67"/>
      <c r="F111" s="68">
        <v>1554.03</v>
      </c>
      <c r="G111" s="69">
        <f>SUM(B111:F111)</f>
        <v>6706.46</v>
      </c>
      <c r="H111" s="56">
        <f>152.51+121.68</f>
        <v>274.19</v>
      </c>
      <c r="I111" s="56">
        <v>264.32</v>
      </c>
      <c r="J111" s="56">
        <f>1183+377.05+66.95</f>
        <v>1627</v>
      </c>
      <c r="K111" s="56">
        <f>H111+I111+J111</f>
        <v>2165.5100000000002</v>
      </c>
      <c r="L111" s="56">
        <f>G111-K111</f>
        <v>4540.95</v>
      </c>
      <c r="M111" s="52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5.75" customHeight="1" x14ac:dyDescent="0.25">
      <c r="A112" s="1"/>
      <c r="B112" s="60"/>
      <c r="C112" s="60"/>
      <c r="D112" s="60"/>
      <c r="E112" s="76"/>
      <c r="F112" s="76"/>
      <c r="G112" s="76"/>
      <c r="H112" s="60"/>
      <c r="I112" s="60"/>
      <c r="J112" s="60"/>
      <c r="K112" s="60"/>
      <c r="L112" s="60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.75" customHeight="1" x14ac:dyDescent="0.25">
      <c r="A113" s="1"/>
      <c r="B113" s="60"/>
      <c r="C113" s="60"/>
      <c r="D113" s="60"/>
      <c r="E113" s="76"/>
      <c r="F113" s="76"/>
      <c r="G113" s="76"/>
      <c r="H113" s="60"/>
      <c r="I113" s="60"/>
      <c r="J113" s="60"/>
      <c r="K113" s="60"/>
      <c r="L113" s="6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.75" customHeight="1" x14ac:dyDescent="0.25">
      <c r="A114" s="1"/>
      <c r="B114" s="60"/>
      <c r="C114" s="60"/>
      <c r="D114" s="60"/>
      <c r="E114" s="76"/>
      <c r="F114" s="76"/>
      <c r="G114" s="76"/>
      <c r="H114" s="60"/>
      <c r="I114" s="60"/>
      <c r="J114" s="60"/>
      <c r="K114" s="60"/>
      <c r="L114" s="6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.75" customHeight="1" x14ac:dyDescent="0.25">
      <c r="A115" s="1"/>
      <c r="B115" s="60"/>
      <c r="C115" s="60"/>
      <c r="D115" s="60"/>
      <c r="E115" s="76"/>
      <c r="F115" s="76"/>
      <c r="G115" s="76"/>
      <c r="H115" s="60"/>
      <c r="I115" s="60"/>
      <c r="J115" s="60"/>
      <c r="K115" s="60"/>
      <c r="L115" s="6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 x14ac:dyDescent="0.25">
      <c r="A116" s="1"/>
      <c r="B116" s="60"/>
      <c r="C116" s="60"/>
      <c r="D116" s="60"/>
      <c r="E116" s="76"/>
      <c r="F116" s="76"/>
      <c r="G116" s="76"/>
      <c r="H116" s="60"/>
      <c r="I116" s="60"/>
      <c r="J116" s="60"/>
      <c r="K116" s="60"/>
      <c r="L116" s="60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 x14ac:dyDescent="0.25">
      <c r="A117" s="1"/>
      <c r="B117" s="60"/>
      <c r="C117" s="60"/>
      <c r="D117" s="60"/>
      <c r="E117" s="76"/>
      <c r="F117" s="76"/>
      <c r="G117" s="76"/>
      <c r="H117" s="60"/>
      <c r="I117" s="60"/>
      <c r="J117" s="60"/>
      <c r="K117" s="60"/>
      <c r="L117" s="60"/>
      <c r="M117" s="10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 x14ac:dyDescent="0.25">
      <c r="A118" s="1"/>
      <c r="B118" s="60"/>
      <c r="C118" s="60"/>
      <c r="D118" s="60"/>
      <c r="E118" s="76"/>
      <c r="F118" s="76"/>
      <c r="G118" s="76"/>
      <c r="H118" s="60"/>
      <c r="I118" s="60"/>
      <c r="J118" s="60"/>
      <c r="K118" s="60"/>
      <c r="L118" s="64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 x14ac:dyDescent="0.25">
      <c r="A119" s="1"/>
      <c r="B119" s="60"/>
      <c r="C119" s="60"/>
      <c r="D119" s="60"/>
      <c r="E119" s="76"/>
      <c r="F119" s="76"/>
      <c r="G119" s="76"/>
      <c r="H119" s="60"/>
      <c r="I119" s="60"/>
      <c r="J119" s="60"/>
      <c r="K119" s="60"/>
      <c r="L119" s="60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 x14ac:dyDescent="0.25">
      <c r="A120" s="1"/>
      <c r="B120" s="60"/>
      <c r="C120" s="60"/>
      <c r="D120" s="60"/>
      <c r="E120" s="76"/>
      <c r="F120" s="76"/>
      <c r="G120" s="76"/>
      <c r="H120" s="60"/>
      <c r="I120" s="60"/>
      <c r="J120" s="60"/>
      <c r="K120" s="60"/>
      <c r="L120" s="6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 x14ac:dyDescent="0.25">
      <c r="A121" s="1"/>
      <c r="B121" s="60"/>
      <c r="C121" s="60"/>
      <c r="D121" s="60"/>
      <c r="E121" s="76"/>
      <c r="F121" s="76"/>
      <c r="G121" s="76"/>
      <c r="H121" s="60"/>
      <c r="I121" s="60"/>
      <c r="J121" s="60"/>
      <c r="K121" s="60"/>
      <c r="L121" s="60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60"/>
      <c r="C122" s="60"/>
      <c r="D122" s="60"/>
      <c r="E122" s="76"/>
      <c r="F122" s="76"/>
      <c r="G122" s="76"/>
      <c r="H122" s="60"/>
      <c r="I122" s="60"/>
      <c r="J122" s="60"/>
      <c r="K122" s="60"/>
      <c r="L122" s="6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60"/>
      <c r="C123" s="60"/>
      <c r="D123" s="60"/>
      <c r="E123" s="76"/>
      <c r="F123" s="76"/>
      <c r="G123" s="76"/>
      <c r="H123" s="60"/>
      <c r="I123" s="60"/>
      <c r="J123" s="60"/>
      <c r="K123" s="60"/>
      <c r="L123" s="6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60"/>
      <c r="C124" s="60"/>
      <c r="D124" s="60"/>
      <c r="E124" s="76"/>
      <c r="F124" s="76"/>
      <c r="G124" s="76"/>
      <c r="H124" s="60"/>
      <c r="I124" s="60"/>
      <c r="J124" s="60"/>
      <c r="K124" s="60"/>
      <c r="L124" s="6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60"/>
      <c r="C125" s="60"/>
      <c r="D125" s="60"/>
      <c r="E125" s="76"/>
      <c r="F125" s="76"/>
      <c r="G125" s="76"/>
      <c r="H125" s="60"/>
      <c r="I125" s="60"/>
      <c r="J125" s="60"/>
      <c r="K125" s="60"/>
      <c r="L125" s="6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60"/>
      <c r="C126" s="60"/>
      <c r="D126" s="60"/>
      <c r="E126" s="76"/>
      <c r="F126" s="76"/>
      <c r="G126" s="76"/>
      <c r="H126" s="60"/>
      <c r="I126" s="60"/>
      <c r="J126" s="60"/>
      <c r="K126" s="60"/>
      <c r="L126" s="6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60"/>
      <c r="C127" s="60"/>
      <c r="D127" s="60"/>
      <c r="E127" s="76"/>
      <c r="F127" s="76"/>
      <c r="G127" s="76"/>
      <c r="H127" s="60"/>
      <c r="I127" s="60"/>
      <c r="J127" s="60"/>
      <c r="K127" s="60"/>
      <c r="L127" s="60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60"/>
      <c r="C128" s="60"/>
      <c r="D128" s="60"/>
      <c r="E128" s="76"/>
      <c r="F128" s="76"/>
      <c r="G128" s="76"/>
      <c r="H128" s="60"/>
      <c r="I128" s="60"/>
      <c r="J128" s="60"/>
      <c r="K128" s="60"/>
      <c r="L128" s="6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60"/>
      <c r="C129" s="60"/>
      <c r="D129" s="60"/>
      <c r="E129" s="76"/>
      <c r="F129" s="76"/>
      <c r="G129" s="76"/>
      <c r="H129" s="60"/>
      <c r="I129" s="60"/>
      <c r="J129" s="60"/>
      <c r="K129" s="60"/>
      <c r="L129" s="6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60"/>
      <c r="C130" s="60"/>
      <c r="D130" s="60"/>
      <c r="E130" s="76"/>
      <c r="F130" s="76"/>
      <c r="G130" s="76"/>
      <c r="H130" s="60"/>
      <c r="I130" s="60"/>
      <c r="J130" s="60"/>
      <c r="K130" s="60"/>
      <c r="L130" s="6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60"/>
      <c r="C131" s="60"/>
      <c r="D131" s="60"/>
      <c r="E131" s="76"/>
      <c r="F131" s="76"/>
      <c r="G131" s="76"/>
      <c r="H131" s="60"/>
      <c r="I131" s="60"/>
      <c r="J131" s="60"/>
      <c r="K131" s="60"/>
      <c r="L131" s="6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60"/>
      <c r="C132" s="60"/>
      <c r="D132" s="60"/>
      <c r="E132" s="76"/>
      <c r="F132" s="76"/>
      <c r="G132" s="76"/>
      <c r="H132" s="60"/>
      <c r="I132" s="60"/>
      <c r="J132" s="60"/>
      <c r="K132" s="60"/>
      <c r="L132" s="6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60"/>
      <c r="C133" s="60"/>
      <c r="D133" s="60"/>
      <c r="E133" s="76"/>
      <c r="F133" s="76"/>
      <c r="G133" s="76"/>
      <c r="H133" s="60"/>
      <c r="I133" s="60"/>
      <c r="J133" s="60"/>
      <c r="K133" s="60"/>
      <c r="L133" s="6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60"/>
      <c r="C134" s="60"/>
      <c r="D134" s="60"/>
      <c r="E134" s="76"/>
      <c r="F134" s="76"/>
      <c r="G134" s="76"/>
      <c r="H134" s="60"/>
      <c r="I134" s="60"/>
      <c r="J134" s="60"/>
      <c r="K134" s="60"/>
      <c r="L134" s="60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60"/>
      <c r="C135" s="60"/>
      <c r="D135" s="60"/>
      <c r="E135" s="76"/>
      <c r="F135" s="76"/>
      <c r="G135" s="76"/>
      <c r="H135" s="60"/>
      <c r="I135" s="60"/>
      <c r="J135" s="60"/>
      <c r="K135" s="60"/>
      <c r="L135" s="6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60"/>
      <c r="C136" s="60"/>
      <c r="D136" s="60"/>
      <c r="E136" s="76"/>
      <c r="F136" s="76"/>
      <c r="G136" s="76"/>
      <c r="H136" s="60"/>
      <c r="I136" s="60"/>
      <c r="J136" s="60"/>
      <c r="K136" s="60"/>
      <c r="L136" s="6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60"/>
      <c r="C137" s="60"/>
      <c r="D137" s="60"/>
      <c r="E137" s="76"/>
      <c r="F137" s="76"/>
      <c r="G137" s="76"/>
      <c r="H137" s="60"/>
      <c r="I137" s="60"/>
      <c r="J137" s="60"/>
      <c r="K137" s="60"/>
      <c r="L137" s="6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60"/>
      <c r="C138" s="60"/>
      <c r="D138" s="60"/>
      <c r="E138" s="76"/>
      <c r="F138" s="76"/>
      <c r="G138" s="76"/>
      <c r="H138" s="60"/>
      <c r="I138" s="60"/>
      <c r="J138" s="60"/>
      <c r="K138" s="60"/>
      <c r="L138" s="60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25">
      <c r="A139" s="1"/>
      <c r="B139" s="60"/>
      <c r="C139" s="60"/>
      <c r="D139" s="60"/>
      <c r="E139" s="76"/>
      <c r="F139" s="76"/>
      <c r="G139" s="76"/>
      <c r="H139" s="60"/>
      <c r="I139" s="60"/>
      <c r="J139" s="60"/>
      <c r="K139" s="60"/>
      <c r="L139" s="60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25">
      <c r="A140" s="1"/>
      <c r="B140" s="60"/>
      <c r="C140" s="60"/>
      <c r="D140" s="60"/>
      <c r="E140" s="76"/>
      <c r="F140" s="76"/>
      <c r="G140" s="76"/>
      <c r="H140" s="60"/>
      <c r="I140" s="60"/>
      <c r="J140" s="60"/>
      <c r="K140" s="60"/>
      <c r="L140" s="60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25">
      <c r="A141" s="1"/>
      <c r="B141" s="60"/>
      <c r="C141" s="60"/>
      <c r="D141" s="60"/>
      <c r="E141" s="76"/>
      <c r="F141" s="76"/>
      <c r="G141" s="76"/>
      <c r="H141" s="60"/>
      <c r="I141" s="60"/>
      <c r="J141" s="60"/>
      <c r="K141" s="60"/>
      <c r="L141" s="6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25">
      <c r="A142" s="1"/>
      <c r="B142" s="60"/>
      <c r="C142" s="60"/>
      <c r="D142" s="60"/>
      <c r="E142" s="76"/>
      <c r="F142" s="76"/>
      <c r="G142" s="76"/>
      <c r="H142" s="60"/>
      <c r="I142" s="60"/>
      <c r="J142" s="60"/>
      <c r="K142" s="60"/>
      <c r="L142" s="6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25">
      <c r="A143" s="1"/>
      <c r="B143" s="60"/>
      <c r="C143" s="60"/>
      <c r="D143" s="60"/>
      <c r="E143" s="76"/>
      <c r="F143" s="76"/>
      <c r="G143" s="76"/>
      <c r="H143" s="60"/>
      <c r="I143" s="60"/>
      <c r="J143" s="60"/>
      <c r="K143" s="60"/>
      <c r="L143" s="60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25">
      <c r="A144" s="1"/>
      <c r="B144" s="60"/>
      <c r="C144" s="60"/>
      <c r="D144" s="60"/>
      <c r="E144" s="76"/>
      <c r="F144" s="76"/>
      <c r="G144" s="76"/>
      <c r="H144" s="60"/>
      <c r="I144" s="60"/>
      <c r="J144" s="60"/>
      <c r="K144" s="60"/>
      <c r="L144" s="60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25">
      <c r="A145" s="1"/>
      <c r="B145" s="60"/>
      <c r="C145" s="60"/>
      <c r="D145" s="60"/>
      <c r="E145" s="76"/>
      <c r="F145" s="76"/>
      <c r="G145" s="76"/>
      <c r="H145" s="60"/>
      <c r="I145" s="60"/>
      <c r="J145" s="60"/>
      <c r="K145" s="60"/>
      <c r="L145" s="60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25">
      <c r="A146" s="1"/>
      <c r="B146" s="60"/>
      <c r="C146" s="60"/>
      <c r="D146" s="60"/>
      <c r="E146" s="76"/>
      <c r="F146" s="76"/>
      <c r="G146" s="76"/>
      <c r="H146" s="60"/>
      <c r="I146" s="60"/>
      <c r="J146" s="60"/>
      <c r="K146" s="60"/>
      <c r="L146" s="6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25">
      <c r="A147" s="1"/>
      <c r="B147" s="60"/>
      <c r="C147" s="60"/>
      <c r="D147" s="60"/>
      <c r="E147" s="76"/>
      <c r="F147" s="76"/>
      <c r="G147" s="76"/>
      <c r="H147" s="60"/>
      <c r="I147" s="60"/>
      <c r="J147" s="60"/>
      <c r="K147" s="60"/>
      <c r="L147" s="6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25">
      <c r="A148" s="1"/>
      <c r="B148" s="60"/>
      <c r="C148" s="60"/>
      <c r="D148" s="60"/>
      <c r="E148" s="76"/>
      <c r="F148" s="76"/>
      <c r="G148" s="76"/>
      <c r="H148" s="60"/>
      <c r="I148" s="60"/>
      <c r="J148" s="60"/>
      <c r="K148" s="60"/>
      <c r="L148" s="60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25">
      <c r="A149" s="1"/>
      <c r="B149" s="60"/>
      <c r="C149" s="60"/>
      <c r="D149" s="60"/>
      <c r="E149" s="76"/>
      <c r="F149" s="76"/>
      <c r="G149" s="76"/>
      <c r="H149" s="60"/>
      <c r="I149" s="60"/>
      <c r="J149" s="60"/>
      <c r="K149" s="60"/>
      <c r="L149" s="60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25">
      <c r="A150" s="1"/>
      <c r="B150" s="60"/>
      <c r="C150" s="60"/>
      <c r="D150" s="60"/>
      <c r="E150" s="76"/>
      <c r="F150" s="76"/>
      <c r="G150" s="76"/>
      <c r="H150" s="60"/>
      <c r="I150" s="60"/>
      <c r="J150" s="60"/>
      <c r="K150" s="60"/>
      <c r="L150" s="60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25">
      <c r="A151" s="1"/>
      <c r="B151" s="60"/>
      <c r="C151" s="60"/>
      <c r="D151" s="60"/>
      <c r="E151" s="76"/>
      <c r="F151" s="76"/>
      <c r="G151" s="76"/>
      <c r="H151" s="60"/>
      <c r="I151" s="60"/>
      <c r="J151" s="60"/>
      <c r="K151" s="60"/>
      <c r="L151" s="60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25">
      <c r="A152" s="1"/>
      <c r="B152" s="60"/>
      <c r="C152" s="60"/>
      <c r="D152" s="60"/>
      <c r="E152" s="76"/>
      <c r="F152" s="76"/>
      <c r="G152" s="76"/>
      <c r="H152" s="60"/>
      <c r="I152" s="60"/>
      <c r="J152" s="60"/>
      <c r="K152" s="60"/>
      <c r="L152" s="6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25">
      <c r="A153" s="1"/>
      <c r="B153" s="60"/>
      <c r="C153" s="60"/>
      <c r="D153" s="60"/>
      <c r="E153" s="76"/>
      <c r="F153" s="76"/>
      <c r="G153" s="76"/>
      <c r="H153" s="60"/>
      <c r="I153" s="60"/>
      <c r="J153" s="60"/>
      <c r="K153" s="60"/>
      <c r="L153" s="60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25">
      <c r="A154" s="1"/>
      <c r="B154" s="60"/>
      <c r="C154" s="60"/>
      <c r="D154" s="60"/>
      <c r="E154" s="76"/>
      <c r="F154" s="76"/>
      <c r="G154" s="76"/>
      <c r="H154" s="60"/>
      <c r="I154" s="60"/>
      <c r="J154" s="60"/>
      <c r="K154" s="60"/>
      <c r="L154" s="60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25">
      <c r="A155" s="1"/>
      <c r="B155" s="60"/>
      <c r="C155" s="60"/>
      <c r="D155" s="60"/>
      <c r="E155" s="76"/>
      <c r="F155" s="76"/>
      <c r="G155" s="76"/>
      <c r="H155" s="60"/>
      <c r="I155" s="60"/>
      <c r="J155" s="60"/>
      <c r="K155" s="60"/>
      <c r="L155" s="60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25">
      <c r="A156" s="1"/>
      <c r="B156" s="60"/>
      <c r="C156" s="60"/>
      <c r="D156" s="60"/>
      <c r="E156" s="76"/>
      <c r="F156" s="76"/>
      <c r="G156" s="76"/>
      <c r="H156" s="60"/>
      <c r="I156" s="60"/>
      <c r="J156" s="60"/>
      <c r="K156" s="60"/>
      <c r="L156" s="60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25">
      <c r="A157" s="1"/>
      <c r="B157" s="60"/>
      <c r="C157" s="60"/>
      <c r="D157" s="60"/>
      <c r="E157" s="76"/>
      <c r="F157" s="76"/>
      <c r="G157" s="76"/>
      <c r="H157" s="60"/>
      <c r="I157" s="60"/>
      <c r="J157" s="60"/>
      <c r="K157" s="60"/>
      <c r="L157" s="60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25">
      <c r="A158" s="1"/>
      <c r="B158" s="60"/>
      <c r="C158" s="60"/>
      <c r="D158" s="60"/>
      <c r="E158" s="76"/>
      <c r="F158" s="76"/>
      <c r="G158" s="76"/>
      <c r="H158" s="60"/>
      <c r="I158" s="60"/>
      <c r="J158" s="60"/>
      <c r="K158" s="60"/>
      <c r="L158" s="60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25">
      <c r="A159" s="1"/>
      <c r="B159" s="60"/>
      <c r="C159" s="60"/>
      <c r="D159" s="60"/>
      <c r="E159" s="76"/>
      <c r="F159" s="76"/>
      <c r="G159" s="76"/>
      <c r="H159" s="60"/>
      <c r="I159" s="60"/>
      <c r="J159" s="60"/>
      <c r="K159" s="60"/>
      <c r="L159" s="60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25">
      <c r="A160" s="1"/>
      <c r="B160" s="60"/>
      <c r="C160" s="60"/>
      <c r="D160" s="60"/>
      <c r="E160" s="76"/>
      <c r="F160" s="76"/>
      <c r="G160" s="76"/>
      <c r="H160" s="60"/>
      <c r="I160" s="60"/>
      <c r="J160" s="60"/>
      <c r="K160" s="60"/>
      <c r="L160" s="60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25">
      <c r="A161" s="1"/>
      <c r="B161" s="60"/>
      <c r="C161" s="60"/>
      <c r="D161" s="60"/>
      <c r="E161" s="76"/>
      <c r="F161" s="76"/>
      <c r="G161" s="76"/>
      <c r="H161" s="60"/>
      <c r="I161" s="60"/>
      <c r="J161" s="60"/>
      <c r="K161" s="60"/>
      <c r="L161" s="6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25">
      <c r="A162" s="1"/>
      <c r="B162" s="60"/>
      <c r="C162" s="60"/>
      <c r="D162" s="60"/>
      <c r="E162" s="76"/>
      <c r="F162" s="76"/>
      <c r="G162" s="76"/>
      <c r="H162" s="60"/>
      <c r="I162" s="60"/>
      <c r="J162" s="60"/>
      <c r="K162" s="60"/>
      <c r="L162" s="60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25">
      <c r="A163" s="1"/>
      <c r="B163" s="60"/>
      <c r="C163" s="60"/>
      <c r="D163" s="60"/>
      <c r="E163" s="76"/>
      <c r="F163" s="76"/>
      <c r="G163" s="76"/>
      <c r="H163" s="60"/>
      <c r="I163" s="60"/>
      <c r="J163" s="60"/>
      <c r="K163" s="60"/>
      <c r="L163" s="60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25">
      <c r="A164" s="1"/>
      <c r="B164" s="60"/>
      <c r="C164" s="60"/>
      <c r="D164" s="60"/>
      <c r="E164" s="76"/>
      <c r="F164" s="76"/>
      <c r="G164" s="76"/>
      <c r="H164" s="60"/>
      <c r="I164" s="60"/>
      <c r="J164" s="60"/>
      <c r="K164" s="60"/>
      <c r="L164" s="60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25">
      <c r="A165" s="1"/>
      <c r="B165" s="60"/>
      <c r="C165" s="60"/>
      <c r="D165" s="60"/>
      <c r="E165" s="76"/>
      <c r="F165" s="76"/>
      <c r="G165" s="76"/>
      <c r="H165" s="60"/>
      <c r="I165" s="60"/>
      <c r="J165" s="60"/>
      <c r="K165" s="60"/>
      <c r="L165" s="6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25">
      <c r="A166" s="1"/>
      <c r="B166" s="60"/>
      <c r="C166" s="60"/>
      <c r="D166" s="60"/>
      <c r="E166" s="76"/>
      <c r="F166" s="76"/>
      <c r="G166" s="76"/>
      <c r="H166" s="60"/>
      <c r="I166" s="60"/>
      <c r="J166" s="60"/>
      <c r="K166" s="60"/>
      <c r="L166" s="60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25">
      <c r="A167" s="1"/>
      <c r="B167" s="60"/>
      <c r="C167" s="60"/>
      <c r="D167" s="60"/>
      <c r="E167" s="76"/>
      <c r="F167" s="76"/>
      <c r="G167" s="76"/>
      <c r="H167" s="60"/>
      <c r="I167" s="60"/>
      <c r="J167" s="60"/>
      <c r="K167" s="60"/>
      <c r="L167" s="6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25">
      <c r="A168" s="1"/>
      <c r="B168" s="60"/>
      <c r="C168" s="60"/>
      <c r="D168" s="60"/>
      <c r="E168" s="76"/>
      <c r="F168" s="76"/>
      <c r="G168" s="76"/>
      <c r="H168" s="60"/>
      <c r="I168" s="60"/>
      <c r="J168" s="60"/>
      <c r="K168" s="60"/>
      <c r="L168" s="6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25">
      <c r="A169" s="1"/>
      <c r="B169" s="60"/>
      <c r="C169" s="60"/>
      <c r="D169" s="60"/>
      <c r="E169" s="76"/>
      <c r="F169" s="76"/>
      <c r="G169" s="76"/>
      <c r="H169" s="60"/>
      <c r="I169" s="60"/>
      <c r="J169" s="60"/>
      <c r="K169" s="60"/>
      <c r="L169" s="60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25">
      <c r="A170" s="1"/>
      <c r="B170" s="60"/>
      <c r="C170" s="60"/>
      <c r="D170" s="60"/>
      <c r="E170" s="76"/>
      <c r="F170" s="76"/>
      <c r="G170" s="76"/>
      <c r="H170" s="60"/>
      <c r="I170" s="60"/>
      <c r="J170" s="60"/>
      <c r="K170" s="60"/>
      <c r="L170" s="6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25">
      <c r="A171" s="1"/>
      <c r="B171" s="60"/>
      <c r="C171" s="60"/>
      <c r="D171" s="60"/>
      <c r="E171" s="76"/>
      <c r="F171" s="76"/>
      <c r="G171" s="76"/>
      <c r="H171" s="60"/>
      <c r="I171" s="60"/>
      <c r="J171" s="60"/>
      <c r="K171" s="60"/>
      <c r="L171" s="60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25">
      <c r="A172" s="1"/>
      <c r="B172" s="60"/>
      <c r="C172" s="60"/>
      <c r="D172" s="60"/>
      <c r="E172" s="76"/>
      <c r="F172" s="76"/>
      <c r="G172" s="76"/>
      <c r="H172" s="60"/>
      <c r="I172" s="60"/>
      <c r="J172" s="60"/>
      <c r="K172" s="60"/>
      <c r="L172" s="6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25">
      <c r="A173" s="1"/>
      <c r="B173" s="60"/>
      <c r="C173" s="60"/>
      <c r="D173" s="60"/>
      <c r="E173" s="76"/>
      <c r="F173" s="76"/>
      <c r="G173" s="76"/>
      <c r="H173" s="60"/>
      <c r="I173" s="60"/>
      <c r="J173" s="60"/>
      <c r="K173" s="60"/>
      <c r="L173" s="60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25">
      <c r="A174" s="1"/>
      <c r="B174" s="60"/>
      <c r="C174" s="60"/>
      <c r="D174" s="60"/>
      <c r="E174" s="76"/>
      <c r="F174" s="76"/>
      <c r="G174" s="76"/>
      <c r="H174" s="60"/>
      <c r="I174" s="60"/>
      <c r="J174" s="60"/>
      <c r="K174" s="60"/>
      <c r="L174" s="6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25">
      <c r="A175" s="1"/>
      <c r="B175" s="60"/>
      <c r="C175" s="60"/>
      <c r="D175" s="60"/>
      <c r="E175" s="76"/>
      <c r="F175" s="76"/>
      <c r="G175" s="76"/>
      <c r="H175" s="60"/>
      <c r="I175" s="60"/>
      <c r="J175" s="60"/>
      <c r="K175" s="60"/>
      <c r="L175" s="6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25">
      <c r="A176" s="1"/>
      <c r="B176" s="60"/>
      <c r="C176" s="60"/>
      <c r="D176" s="60"/>
      <c r="E176" s="76"/>
      <c r="F176" s="76"/>
      <c r="G176" s="76"/>
      <c r="H176" s="60"/>
      <c r="I176" s="60"/>
      <c r="J176" s="60"/>
      <c r="K176" s="60"/>
      <c r="L176" s="60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25">
      <c r="A177" s="1"/>
      <c r="B177" s="60"/>
      <c r="C177" s="60"/>
      <c r="D177" s="60"/>
      <c r="E177" s="76"/>
      <c r="F177" s="76"/>
      <c r="G177" s="76"/>
      <c r="H177" s="60"/>
      <c r="I177" s="60"/>
      <c r="J177" s="60"/>
      <c r="K177" s="60"/>
      <c r="L177" s="60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25">
      <c r="A178" s="1"/>
      <c r="B178" s="60"/>
      <c r="C178" s="60"/>
      <c r="D178" s="60"/>
      <c r="E178" s="76"/>
      <c r="F178" s="76"/>
      <c r="G178" s="76"/>
      <c r="H178" s="60"/>
      <c r="I178" s="60"/>
      <c r="J178" s="60"/>
      <c r="K178" s="60"/>
      <c r="L178" s="60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25">
      <c r="A179" s="1"/>
      <c r="B179" s="60"/>
      <c r="C179" s="60"/>
      <c r="D179" s="60"/>
      <c r="E179" s="76"/>
      <c r="F179" s="76"/>
      <c r="G179" s="76"/>
      <c r="H179" s="60"/>
      <c r="I179" s="60"/>
      <c r="J179" s="60"/>
      <c r="K179" s="60"/>
      <c r="L179" s="6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25">
      <c r="A180" s="1"/>
      <c r="B180" s="60"/>
      <c r="C180" s="60"/>
      <c r="D180" s="60"/>
      <c r="E180" s="76"/>
      <c r="F180" s="76"/>
      <c r="G180" s="76"/>
      <c r="H180" s="60"/>
      <c r="I180" s="60"/>
      <c r="J180" s="60"/>
      <c r="K180" s="60"/>
      <c r="L180" s="60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25">
      <c r="A181" s="1"/>
      <c r="B181" s="60"/>
      <c r="C181" s="60"/>
      <c r="D181" s="60"/>
      <c r="E181" s="76"/>
      <c r="F181" s="76"/>
      <c r="G181" s="76"/>
      <c r="H181" s="60"/>
      <c r="I181" s="60"/>
      <c r="J181" s="60"/>
      <c r="K181" s="60"/>
      <c r="L181" s="6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25">
      <c r="A182" s="1"/>
      <c r="B182" s="60"/>
      <c r="C182" s="60"/>
      <c r="D182" s="60"/>
      <c r="E182" s="76"/>
      <c r="F182" s="76"/>
      <c r="G182" s="76"/>
      <c r="H182" s="60"/>
      <c r="I182" s="60"/>
      <c r="J182" s="60"/>
      <c r="K182" s="60"/>
      <c r="L182" s="60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25">
      <c r="A183" s="1"/>
      <c r="B183" s="60"/>
      <c r="C183" s="60"/>
      <c r="D183" s="60"/>
      <c r="E183" s="76"/>
      <c r="F183" s="76"/>
      <c r="G183" s="76"/>
      <c r="H183" s="60"/>
      <c r="I183" s="60"/>
      <c r="J183" s="60"/>
      <c r="K183" s="60"/>
      <c r="L183" s="6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25">
      <c r="A184" s="1"/>
      <c r="B184" s="60"/>
      <c r="C184" s="60"/>
      <c r="D184" s="60"/>
      <c r="E184" s="76"/>
      <c r="F184" s="76"/>
      <c r="G184" s="76"/>
      <c r="H184" s="60"/>
      <c r="I184" s="60"/>
      <c r="J184" s="60"/>
      <c r="K184" s="60"/>
      <c r="L184" s="6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25">
      <c r="A185" s="1"/>
      <c r="B185" s="60"/>
      <c r="C185" s="60"/>
      <c r="D185" s="60"/>
      <c r="E185" s="76"/>
      <c r="F185" s="76"/>
      <c r="G185" s="76"/>
      <c r="H185" s="60"/>
      <c r="I185" s="60"/>
      <c r="J185" s="60"/>
      <c r="K185" s="60"/>
      <c r="L185" s="6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25">
      <c r="A186" s="1"/>
      <c r="B186" s="60"/>
      <c r="C186" s="60"/>
      <c r="D186" s="60"/>
      <c r="E186" s="76"/>
      <c r="F186" s="76"/>
      <c r="G186" s="76"/>
      <c r="H186" s="60"/>
      <c r="I186" s="60"/>
      <c r="J186" s="60"/>
      <c r="K186" s="60"/>
      <c r="L186" s="6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25">
      <c r="A187" s="1"/>
      <c r="B187" s="60"/>
      <c r="C187" s="60"/>
      <c r="D187" s="60"/>
      <c r="E187" s="76"/>
      <c r="F187" s="76"/>
      <c r="G187" s="76"/>
      <c r="H187" s="60"/>
      <c r="I187" s="60"/>
      <c r="J187" s="60"/>
      <c r="K187" s="60"/>
      <c r="L187" s="60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25">
      <c r="A188" s="1"/>
      <c r="B188" s="60"/>
      <c r="C188" s="60"/>
      <c r="D188" s="60"/>
      <c r="E188" s="76"/>
      <c r="F188" s="76"/>
      <c r="G188" s="76"/>
      <c r="H188" s="60"/>
      <c r="I188" s="60"/>
      <c r="J188" s="60"/>
      <c r="K188" s="60"/>
      <c r="L188" s="6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25">
      <c r="A189" s="1"/>
      <c r="B189" s="60"/>
      <c r="C189" s="60"/>
      <c r="D189" s="60"/>
      <c r="E189" s="76"/>
      <c r="F189" s="76"/>
      <c r="G189" s="76"/>
      <c r="H189" s="60"/>
      <c r="I189" s="60"/>
      <c r="J189" s="60"/>
      <c r="K189" s="60"/>
      <c r="L189" s="6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25">
      <c r="A190" s="1"/>
      <c r="B190" s="60"/>
      <c r="C190" s="60"/>
      <c r="D190" s="60"/>
      <c r="E190" s="76"/>
      <c r="F190" s="76"/>
      <c r="G190" s="76"/>
      <c r="H190" s="60"/>
      <c r="I190" s="60"/>
      <c r="J190" s="60"/>
      <c r="K190" s="60"/>
      <c r="L190" s="6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25">
      <c r="A191" s="1"/>
      <c r="B191" s="60"/>
      <c r="C191" s="60"/>
      <c r="D191" s="60"/>
      <c r="E191" s="76"/>
      <c r="F191" s="76"/>
      <c r="G191" s="76"/>
      <c r="H191" s="60"/>
      <c r="I191" s="60"/>
      <c r="J191" s="60"/>
      <c r="K191" s="60"/>
      <c r="L191" s="60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25">
      <c r="A192" s="1"/>
      <c r="B192" s="60"/>
      <c r="C192" s="60"/>
      <c r="D192" s="60"/>
      <c r="E192" s="76"/>
      <c r="F192" s="76"/>
      <c r="G192" s="76"/>
      <c r="H192" s="60"/>
      <c r="I192" s="60"/>
      <c r="J192" s="60"/>
      <c r="K192" s="60"/>
      <c r="L192" s="6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25">
      <c r="A193" s="1"/>
      <c r="B193" s="60"/>
      <c r="C193" s="60"/>
      <c r="D193" s="60"/>
      <c r="E193" s="76"/>
      <c r="F193" s="76"/>
      <c r="G193" s="76"/>
      <c r="H193" s="60"/>
      <c r="I193" s="60"/>
      <c r="J193" s="60"/>
      <c r="K193" s="60"/>
      <c r="L193" s="6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25">
      <c r="A194" s="1"/>
      <c r="B194" s="60"/>
      <c r="C194" s="60"/>
      <c r="D194" s="60"/>
      <c r="E194" s="76"/>
      <c r="F194" s="76"/>
      <c r="G194" s="76"/>
      <c r="H194" s="60"/>
      <c r="I194" s="60"/>
      <c r="J194" s="60"/>
      <c r="K194" s="60"/>
      <c r="L194" s="6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25">
      <c r="A195" s="1"/>
      <c r="B195" s="60"/>
      <c r="C195" s="60"/>
      <c r="D195" s="60"/>
      <c r="E195" s="76"/>
      <c r="F195" s="76"/>
      <c r="G195" s="76"/>
      <c r="H195" s="60"/>
      <c r="I195" s="60"/>
      <c r="J195" s="60"/>
      <c r="K195" s="60"/>
      <c r="L195" s="6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4.25" customHeight="1" x14ac:dyDescent="0.2"/>
    <row r="310" spans="1:32" ht="14.25" customHeight="1" x14ac:dyDescent="0.2"/>
    <row r="311" spans="1:32" ht="14.25" customHeight="1" x14ac:dyDescent="0.2"/>
    <row r="312" spans="1:32" ht="14.25" customHeight="1" x14ac:dyDescent="0.2"/>
    <row r="313" spans="1:32" ht="14.25" customHeight="1" x14ac:dyDescent="0.2"/>
    <row r="314" spans="1:32" ht="14.25" customHeight="1" x14ac:dyDescent="0.2"/>
    <row r="315" spans="1:32" ht="14.25" customHeight="1" x14ac:dyDescent="0.2"/>
    <row r="316" spans="1:32" ht="14.25" customHeight="1" x14ac:dyDescent="0.2"/>
    <row r="317" spans="1:32" ht="14.25" customHeight="1" x14ac:dyDescent="0.2"/>
    <row r="318" spans="1:32" ht="14.25" customHeight="1" x14ac:dyDescent="0.2"/>
    <row r="319" spans="1:32" ht="14.25" customHeight="1" x14ac:dyDescent="0.2"/>
    <row r="320" spans="1:32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  <row r="1007" ht="14.25" customHeight="1" x14ac:dyDescent="0.2"/>
    <row r="1008" ht="14.25" customHeight="1" x14ac:dyDescent="0.2"/>
    <row r="1009" ht="14.25" customHeight="1" x14ac:dyDescent="0.2"/>
    <row r="1010" ht="14.25" customHeight="1" x14ac:dyDescent="0.2"/>
    <row r="1011" ht="14.25" customHeight="1" x14ac:dyDescent="0.2"/>
    <row r="1012" ht="14.25" customHeight="1" x14ac:dyDescent="0.2"/>
    <row r="1013" ht="14.25" customHeight="1" x14ac:dyDescent="0.2"/>
    <row r="1014" ht="14.25" customHeight="1" x14ac:dyDescent="0.2"/>
    <row r="1015" ht="14.25" customHeight="1" x14ac:dyDescent="0.2"/>
    <row r="1016" ht="14.25" customHeight="1" x14ac:dyDescent="0.2"/>
    <row r="1017" ht="14.25" customHeight="1" x14ac:dyDescent="0.2"/>
    <row r="1018" ht="14.25" customHeight="1" x14ac:dyDescent="0.2"/>
    <row r="1019" ht="14.25" customHeight="1" x14ac:dyDescent="0.2"/>
    <row r="1020" ht="14.25" customHeight="1" x14ac:dyDescent="0.2"/>
    <row r="1021" ht="14.25" customHeight="1" x14ac:dyDescent="0.2"/>
    <row r="1022" ht="14.25" customHeight="1" x14ac:dyDescent="0.2"/>
    <row r="1023" ht="14.25" customHeight="1" x14ac:dyDescent="0.2"/>
    <row r="1024" ht="14.25" customHeight="1" x14ac:dyDescent="0.2"/>
    <row r="1025" ht="14.25" customHeight="1" x14ac:dyDescent="0.2"/>
    <row r="1026" ht="14.25" customHeight="1" x14ac:dyDescent="0.2"/>
    <row r="1027" ht="14.25" customHeight="1" x14ac:dyDescent="0.2"/>
    <row r="1028" ht="14.25" customHeight="1" x14ac:dyDescent="0.2"/>
    <row r="1029" ht="14.25" customHeight="1" x14ac:dyDescent="0.2"/>
    <row r="1030" ht="14.25" customHeight="1" x14ac:dyDescent="0.2"/>
  </sheetData>
  <mergeCells count="55">
    <mergeCell ref="K3:K5"/>
    <mergeCell ref="L3:L5"/>
    <mergeCell ref="B6:L6"/>
    <mergeCell ref="B51:L51"/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A46:L46"/>
    <mergeCell ref="B48:B50"/>
    <mergeCell ref="B89:L89"/>
    <mergeCell ref="B96:L96"/>
    <mergeCell ref="A84:L84"/>
    <mergeCell ref="B86:B88"/>
    <mergeCell ref="C86:C88"/>
    <mergeCell ref="D86:D88"/>
    <mergeCell ref="E86:E88"/>
    <mergeCell ref="F86:F88"/>
    <mergeCell ref="G86:G88"/>
    <mergeCell ref="H86:H88"/>
    <mergeCell ref="I86:I88"/>
    <mergeCell ref="J86:J88"/>
    <mergeCell ref="K86:K88"/>
    <mergeCell ref="L86:L88"/>
    <mergeCell ref="J106:J108"/>
    <mergeCell ref="K106:K108"/>
    <mergeCell ref="L106:L108"/>
    <mergeCell ref="A103:L103"/>
    <mergeCell ref="D105:H105"/>
    <mergeCell ref="B106:B108"/>
    <mergeCell ref="C106:C108"/>
    <mergeCell ref="D106:D108"/>
    <mergeCell ref="E106:E108"/>
    <mergeCell ref="F106:F108"/>
    <mergeCell ref="G106:G108"/>
    <mergeCell ref="H106:H108"/>
    <mergeCell ref="I106:I108"/>
    <mergeCell ref="B73:L73"/>
    <mergeCell ref="B80:L80"/>
    <mergeCell ref="H48:H50"/>
    <mergeCell ref="I48:I50"/>
    <mergeCell ref="J48:J50"/>
    <mergeCell ref="K48:K50"/>
    <mergeCell ref="L48:L50"/>
    <mergeCell ref="C48:C50"/>
    <mergeCell ref="D48:D50"/>
    <mergeCell ref="E48:E50"/>
    <mergeCell ref="F48:F50"/>
    <mergeCell ref="G48:G50"/>
  </mergeCells>
  <printOptions horizontalCentered="1"/>
  <pageMargins left="0.31496062992125984" right="0.31496062992125984" top="0.39370078740157483" bottom="0.39370078740157483" header="0" footer="0"/>
  <pageSetup paperSize="9" scale="82" fitToHeight="0" orientation="landscape" r:id="rId1"/>
  <rowBreaks count="2" manualBreakCount="2">
    <brk id="45" max="16383" man="1"/>
    <brk id="83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F132"/>
  <sheetViews>
    <sheetView view="pageBreakPreview" topLeftCell="A49" zoomScale="60" zoomScaleNormal="100" workbookViewId="0">
      <selection activeCell="R61" sqref="R61"/>
    </sheetView>
  </sheetViews>
  <sheetFormatPr defaultRowHeight="14.25" x14ac:dyDescent="0.2"/>
  <cols>
    <col min="1" max="1" width="27.375" customWidth="1"/>
    <col min="2" max="2" width="10" customWidth="1"/>
    <col min="3" max="3" width="11.75" customWidth="1"/>
    <col min="4" max="4" width="12.375" customWidth="1"/>
    <col min="5" max="5" width="14.125" customWidth="1"/>
    <col min="6" max="6" width="12" customWidth="1"/>
    <col min="7" max="7" width="12.75" customWidth="1"/>
    <col min="8" max="8" width="12.375" customWidth="1"/>
    <col min="9" max="9" width="10.75" customWidth="1"/>
    <col min="10" max="10" width="10.125" customWidth="1"/>
    <col min="11" max="11" width="12" customWidth="1"/>
    <col min="12" max="12" width="13.125" customWidth="1"/>
  </cols>
  <sheetData>
    <row r="1" spans="1:32" ht="14.25" customHeight="1" x14ac:dyDescent="0.25">
      <c r="A1" s="258" t="s">
        <v>159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5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customHeight="1" thickBot="1" x14ac:dyDescent="0.3">
      <c r="A2" s="121" t="s">
        <v>60</v>
      </c>
      <c r="B2" s="122">
        <v>2022</v>
      </c>
      <c r="C2" s="123"/>
      <c r="D2" s="123"/>
      <c r="E2" s="124"/>
      <c r="F2" s="124"/>
      <c r="G2" s="124"/>
      <c r="H2" s="123"/>
      <c r="I2" s="123"/>
      <c r="J2" s="123"/>
      <c r="K2" s="123"/>
      <c r="L2" s="123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125" t="s">
        <v>2</v>
      </c>
      <c r="B3" s="259" t="s">
        <v>3</v>
      </c>
      <c r="C3" s="259" t="s">
        <v>92</v>
      </c>
      <c r="D3" s="260" t="s">
        <v>93</v>
      </c>
      <c r="E3" s="261" t="s">
        <v>8</v>
      </c>
      <c r="F3" s="263" t="s">
        <v>94</v>
      </c>
      <c r="G3" s="263" t="s">
        <v>9</v>
      </c>
      <c r="H3" s="259" t="s">
        <v>11</v>
      </c>
      <c r="I3" s="259" t="s">
        <v>95</v>
      </c>
      <c r="J3" s="260" t="s">
        <v>12</v>
      </c>
      <c r="K3" s="260" t="s">
        <v>13</v>
      </c>
      <c r="L3" s="265" t="s">
        <v>14</v>
      </c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x14ac:dyDescent="0.25">
      <c r="A4" s="126" t="s">
        <v>15</v>
      </c>
      <c r="B4" s="249"/>
      <c r="C4" s="249"/>
      <c r="D4" s="249"/>
      <c r="E4" s="261"/>
      <c r="F4" s="249"/>
      <c r="G4" s="249"/>
      <c r="H4" s="249"/>
      <c r="I4" s="249"/>
      <c r="J4" s="249"/>
      <c r="K4" s="249"/>
      <c r="L4" s="260"/>
      <c r="M4" s="5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 x14ac:dyDescent="0.25">
      <c r="A5" s="127" t="s">
        <v>16</v>
      </c>
      <c r="B5" s="250"/>
      <c r="C5" s="250"/>
      <c r="D5" s="250"/>
      <c r="E5" s="262"/>
      <c r="F5" s="250"/>
      <c r="G5" s="250"/>
      <c r="H5" s="250"/>
      <c r="I5" s="250"/>
      <c r="J5" s="250"/>
      <c r="K5" s="250"/>
      <c r="L5" s="266"/>
      <c r="M5" s="5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 x14ac:dyDescent="0.25">
      <c r="A6" s="128" t="s">
        <v>96</v>
      </c>
      <c r="B6" s="264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5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 x14ac:dyDescent="0.25">
      <c r="A7" s="116" t="s">
        <v>99</v>
      </c>
      <c r="B7" s="129"/>
      <c r="C7" s="129"/>
      <c r="D7" s="129"/>
      <c r="E7" s="130"/>
      <c r="F7" s="130"/>
      <c r="G7" s="130"/>
      <c r="H7" s="129"/>
      <c r="I7" s="129"/>
      <c r="J7" s="129"/>
      <c r="K7" s="129"/>
      <c r="L7" s="129"/>
      <c r="M7" s="5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 x14ac:dyDescent="0.25">
      <c r="A8" s="119" t="s">
        <v>151</v>
      </c>
      <c r="B8" s="129"/>
      <c r="C8" s="129"/>
      <c r="D8" s="129"/>
      <c r="E8" s="130"/>
      <c r="F8" s="130"/>
      <c r="G8" s="130"/>
      <c r="H8" s="129"/>
      <c r="I8" s="129"/>
      <c r="J8" s="129"/>
      <c r="K8" s="129"/>
      <c r="L8" s="129"/>
      <c r="M8" s="5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 thickBot="1" x14ac:dyDescent="0.3">
      <c r="A9" s="114">
        <v>43171</v>
      </c>
      <c r="B9" s="131">
        <v>1726.11</v>
      </c>
      <c r="C9" s="131">
        <v>457.35</v>
      </c>
      <c r="D9" s="131"/>
      <c r="E9" s="132"/>
      <c r="F9" s="133"/>
      <c r="G9" s="134">
        <f>SUM(B9:F9)</f>
        <v>2183.46</v>
      </c>
      <c r="H9" s="118">
        <f>144.03+34.3</f>
        <v>178.32999999999998</v>
      </c>
      <c r="I9" s="118"/>
      <c r="J9" s="118">
        <f>62.15+2.34+127.45</f>
        <v>191.94</v>
      </c>
      <c r="K9" s="118">
        <f>SUM(H9:J9)</f>
        <v>370.27</v>
      </c>
      <c r="L9" s="118">
        <f>G9-K9</f>
        <v>1813.19</v>
      </c>
      <c r="M9" s="5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.75" customHeight="1" thickTop="1" x14ac:dyDescent="0.25">
      <c r="A10" s="116" t="s">
        <v>101</v>
      </c>
      <c r="B10" s="135"/>
      <c r="C10" s="135"/>
      <c r="D10" s="135"/>
      <c r="E10" s="136"/>
      <c r="F10" s="136"/>
      <c r="G10" s="130"/>
      <c r="H10" s="129"/>
      <c r="I10" s="129"/>
      <c r="J10" s="129"/>
      <c r="K10" s="129"/>
      <c r="L10" s="129"/>
      <c r="M10" s="5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.75" customHeight="1" x14ac:dyDescent="0.25">
      <c r="A11" s="120" t="s">
        <v>144</v>
      </c>
      <c r="B11" s="135"/>
      <c r="C11" s="135"/>
      <c r="D11" s="135"/>
      <c r="E11" s="136"/>
      <c r="F11" s="136"/>
      <c r="G11" s="130"/>
      <c r="H11" s="129"/>
      <c r="I11" s="129"/>
      <c r="J11" s="129"/>
      <c r="K11" s="129"/>
      <c r="L11" s="129"/>
      <c r="M11" s="52"/>
      <c r="N11" s="1"/>
      <c r="O11" s="1"/>
      <c r="P11" s="34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.75" customHeight="1" thickBot="1" x14ac:dyDescent="0.3">
      <c r="A12" s="114">
        <v>42037</v>
      </c>
      <c r="B12" s="131">
        <v>4097.53</v>
      </c>
      <c r="C12" s="131"/>
      <c r="D12" s="131">
        <v>81.95</v>
      </c>
      <c r="E12" s="132"/>
      <c r="F12" s="133"/>
      <c r="G12" s="134">
        <f>SUM(B12:F12)</f>
        <v>4179.4799999999996</v>
      </c>
      <c r="H12" s="118">
        <v>421.3</v>
      </c>
      <c r="I12" s="118">
        <v>209.46</v>
      </c>
      <c r="J12" s="118">
        <f>62.15+2.86+126.81</f>
        <v>191.82</v>
      </c>
      <c r="K12" s="118">
        <f>H12+I12+J12</f>
        <v>822.57999999999993</v>
      </c>
      <c r="L12" s="118">
        <f>G12-K12</f>
        <v>3356.8999999999996</v>
      </c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4.25" customHeight="1" thickTop="1" x14ac:dyDescent="0.25">
      <c r="A13" s="116" t="s">
        <v>103</v>
      </c>
      <c r="B13" s="135"/>
      <c r="C13" s="135"/>
      <c r="D13" s="135"/>
      <c r="E13" s="136"/>
      <c r="F13" s="136"/>
      <c r="G13" s="130"/>
      <c r="H13" s="129"/>
      <c r="I13" s="129"/>
      <c r="J13" s="129"/>
      <c r="K13" s="129"/>
      <c r="L13" s="129"/>
      <c r="M13" s="5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4.25" customHeight="1" x14ac:dyDescent="0.25">
      <c r="A14" s="120" t="s">
        <v>104</v>
      </c>
      <c r="B14" s="135"/>
      <c r="C14" s="135"/>
      <c r="D14" s="135"/>
      <c r="E14" s="136"/>
      <c r="F14" s="136"/>
      <c r="G14" s="130"/>
      <c r="H14" s="129"/>
      <c r="I14" s="129"/>
      <c r="J14" s="129"/>
      <c r="K14" s="129"/>
      <c r="L14" s="129"/>
      <c r="M14" s="5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4.25" customHeight="1" thickBot="1" x14ac:dyDescent="0.3">
      <c r="A15" s="114">
        <v>41319</v>
      </c>
      <c r="B15" s="131">
        <v>6678.33</v>
      </c>
      <c r="C15" s="131"/>
      <c r="D15" s="131">
        <v>133.56</v>
      </c>
      <c r="E15" s="132">
        <v>3005.25</v>
      </c>
      <c r="F15" s="133"/>
      <c r="G15" s="134">
        <f>SUM(B15:F15)</f>
        <v>9817.14</v>
      </c>
      <c r="H15" s="118">
        <v>828.38</v>
      </c>
      <c r="I15" s="118">
        <v>1498.27</v>
      </c>
      <c r="J15" s="118">
        <f>62.15+2.47+88.71+523.51</f>
        <v>676.83999999999992</v>
      </c>
      <c r="K15" s="118">
        <f>H15+I15+J15</f>
        <v>3003.49</v>
      </c>
      <c r="L15" s="118">
        <f>G15-K15</f>
        <v>6813.65</v>
      </c>
      <c r="M15" s="5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 thickTop="1" x14ac:dyDescent="0.25">
      <c r="A16" s="116" t="s">
        <v>105</v>
      </c>
      <c r="B16" s="137"/>
      <c r="C16" s="137"/>
      <c r="D16" s="137"/>
      <c r="E16" s="138"/>
      <c r="F16" s="139"/>
      <c r="G16" s="140"/>
      <c r="H16" s="141"/>
      <c r="I16" s="141"/>
      <c r="J16" s="141"/>
      <c r="K16" s="141"/>
      <c r="L16" s="141"/>
      <c r="M16" s="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 x14ac:dyDescent="0.25">
      <c r="A17" s="142" t="s">
        <v>106</v>
      </c>
      <c r="B17" s="137"/>
      <c r="C17" s="137"/>
      <c r="D17" s="137"/>
      <c r="E17" s="138"/>
      <c r="F17" s="139"/>
      <c r="G17" s="140"/>
      <c r="H17" s="141"/>
      <c r="I17" s="141"/>
      <c r="J17" s="141"/>
      <c r="K17" s="141"/>
      <c r="L17" s="141"/>
      <c r="M17" s="5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.75" customHeight="1" thickBot="1" x14ac:dyDescent="0.3">
      <c r="A18" s="143">
        <v>44522</v>
      </c>
      <c r="B18" s="118">
        <v>3578.94</v>
      </c>
      <c r="C18" s="118"/>
      <c r="D18" s="118"/>
      <c r="E18" s="134"/>
      <c r="F18" s="87"/>
      <c r="G18" s="134">
        <f>SUM(B18:F18)</f>
        <v>3578.94</v>
      </c>
      <c r="H18" s="118">
        <v>338.47</v>
      </c>
      <c r="I18" s="118">
        <v>102.83</v>
      </c>
      <c r="J18" s="118">
        <f>62.15+2.99+505.87</f>
        <v>571.01</v>
      </c>
      <c r="K18" s="118">
        <f>H18+I18+J18</f>
        <v>1012.31</v>
      </c>
      <c r="L18" s="118">
        <f>G18-K18</f>
        <v>2566.63</v>
      </c>
      <c r="M18" s="5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.75" customHeight="1" thickTop="1" x14ac:dyDescent="0.25">
      <c r="A19" s="115" t="s">
        <v>107</v>
      </c>
      <c r="B19" s="129"/>
      <c r="C19" s="129"/>
      <c r="D19" s="129"/>
      <c r="E19" s="130"/>
      <c r="F19" s="130"/>
      <c r="G19" s="130"/>
      <c r="H19" s="129"/>
      <c r="I19" s="129"/>
      <c r="J19" s="129"/>
      <c r="K19" s="129"/>
      <c r="L19" s="129"/>
      <c r="M19" s="5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.75" customHeight="1" x14ac:dyDescent="0.25">
      <c r="A20" s="120" t="s">
        <v>108</v>
      </c>
      <c r="B20" s="129"/>
      <c r="C20" s="129"/>
      <c r="D20" s="129"/>
      <c r="E20" s="130"/>
      <c r="F20" s="130"/>
      <c r="G20" s="130"/>
      <c r="H20" s="129"/>
      <c r="I20" s="129"/>
      <c r="J20" s="129"/>
      <c r="K20" s="129"/>
      <c r="L20" s="129"/>
      <c r="M20" s="5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thickBot="1" x14ac:dyDescent="0.3">
      <c r="A21" s="143">
        <v>44207</v>
      </c>
      <c r="B21" s="118">
        <v>1072.75</v>
      </c>
      <c r="C21" s="118">
        <v>998.65</v>
      </c>
      <c r="D21" s="118"/>
      <c r="E21" s="134"/>
      <c r="F21" s="87"/>
      <c r="G21" s="134">
        <f>SUM(B21:F21)</f>
        <v>2071.4</v>
      </c>
      <c r="H21" s="118">
        <f>93.35+74.89</f>
        <v>168.24</v>
      </c>
      <c r="I21" s="144"/>
      <c r="J21" s="118">
        <f>62.15+1.82+307.09+29.57</f>
        <v>400.62999999999994</v>
      </c>
      <c r="K21" s="118">
        <f>SUM(H21:J21)</f>
        <v>568.86999999999989</v>
      </c>
      <c r="L21" s="118">
        <f>G21-K21</f>
        <v>1502.5300000000002</v>
      </c>
      <c r="M21" s="5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thickTop="1" x14ac:dyDescent="0.25">
      <c r="A22" s="115" t="s">
        <v>145</v>
      </c>
      <c r="B22" s="129"/>
      <c r="C22" s="129"/>
      <c r="D22" s="129"/>
      <c r="E22" s="130"/>
      <c r="F22" s="130"/>
      <c r="G22" s="130"/>
      <c r="H22" s="129"/>
      <c r="I22" s="129"/>
      <c r="J22" s="129"/>
      <c r="K22" s="129"/>
      <c r="L22" s="129"/>
      <c r="M22" s="5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120" t="s">
        <v>146</v>
      </c>
      <c r="B23" s="129"/>
      <c r="C23" s="129"/>
      <c r="D23" s="129"/>
      <c r="E23" s="130"/>
      <c r="F23" s="130"/>
      <c r="G23" s="130"/>
      <c r="H23" s="129"/>
      <c r="I23" s="129"/>
      <c r="J23" s="129"/>
      <c r="K23" s="129"/>
      <c r="L23" s="129"/>
      <c r="M23" s="5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thickBot="1" x14ac:dyDescent="0.3">
      <c r="A24" s="143">
        <v>44608</v>
      </c>
      <c r="B24" s="118">
        <v>4000</v>
      </c>
      <c r="C24" s="118"/>
      <c r="D24" s="118"/>
      <c r="E24" s="134"/>
      <c r="F24" s="87"/>
      <c r="G24" s="134">
        <f>SUM(B24:F24)</f>
        <v>4000</v>
      </c>
      <c r="H24" s="118">
        <v>396.17</v>
      </c>
      <c r="I24" s="144">
        <v>157.34</v>
      </c>
      <c r="J24" s="118">
        <f>62.15+2.73</f>
        <v>64.88</v>
      </c>
      <c r="K24" s="118">
        <f>SUM(H24:J24)</f>
        <v>618.39</v>
      </c>
      <c r="L24" s="118">
        <f>G24-K24</f>
        <v>3381.61</v>
      </c>
      <c r="M24" s="5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thickTop="1" x14ac:dyDescent="0.25">
      <c r="A25" s="115" t="s">
        <v>109</v>
      </c>
      <c r="B25" s="129"/>
      <c r="C25" s="129"/>
      <c r="D25" s="129"/>
      <c r="E25" s="130"/>
      <c r="F25" s="130"/>
      <c r="G25" s="130"/>
      <c r="H25" s="129"/>
      <c r="I25" s="129"/>
      <c r="J25" s="129"/>
      <c r="K25" s="129"/>
      <c r="L25" s="129"/>
      <c r="M25" s="5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120" t="s">
        <v>110</v>
      </c>
      <c r="B26" s="129"/>
      <c r="C26" s="129"/>
      <c r="D26" s="129"/>
      <c r="E26" s="130"/>
      <c r="F26" s="130"/>
      <c r="G26" s="130"/>
      <c r="H26" s="129"/>
      <c r="I26" s="129"/>
      <c r="J26" s="129"/>
      <c r="K26" s="129"/>
      <c r="L26" s="129"/>
      <c r="M26" s="5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thickBot="1" x14ac:dyDescent="0.3">
      <c r="A27" s="143">
        <v>43739</v>
      </c>
      <c r="B27" s="118">
        <v>3829.46</v>
      </c>
      <c r="C27" s="118"/>
      <c r="D27" s="118"/>
      <c r="E27" s="134"/>
      <c r="F27" s="87"/>
      <c r="G27" s="134">
        <f>SUM(B27:F27)</f>
        <v>3829.46</v>
      </c>
      <c r="H27" s="118">
        <v>372.3</v>
      </c>
      <c r="I27" s="144">
        <v>163.77000000000001</v>
      </c>
      <c r="J27" s="118">
        <f>62.15+2.99+220.93+59.14</f>
        <v>345.21</v>
      </c>
      <c r="K27" s="118">
        <f>SUM(H27:J27)</f>
        <v>881.28</v>
      </c>
      <c r="L27" s="118">
        <f>G27-K27</f>
        <v>2948.1800000000003</v>
      </c>
      <c r="M27" s="5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4.25" customHeight="1" thickTop="1" x14ac:dyDescent="0.25">
      <c r="A28" s="116" t="s">
        <v>111</v>
      </c>
      <c r="B28" s="129"/>
      <c r="C28" s="129"/>
      <c r="D28" s="129"/>
      <c r="E28" s="130"/>
      <c r="F28" s="130"/>
      <c r="G28" s="130"/>
      <c r="H28" s="129"/>
      <c r="I28" s="129"/>
      <c r="J28" s="129"/>
      <c r="K28" s="129"/>
      <c r="L28" s="129"/>
      <c r="M28" s="5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4.25" customHeight="1" x14ac:dyDescent="0.25">
      <c r="A29" s="119" t="s">
        <v>100</v>
      </c>
      <c r="B29" s="129"/>
      <c r="C29" s="129"/>
      <c r="D29" s="129"/>
      <c r="E29" s="130"/>
      <c r="F29" s="130"/>
      <c r="G29" s="130"/>
      <c r="H29" s="129"/>
      <c r="I29" s="129"/>
      <c r="J29" s="129"/>
      <c r="K29" s="129"/>
      <c r="L29" s="129"/>
      <c r="M29" s="5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4.25" customHeight="1" thickBot="1" x14ac:dyDescent="0.3">
      <c r="A30" s="114">
        <v>43648</v>
      </c>
      <c r="B30" s="131">
        <v>1923.41</v>
      </c>
      <c r="C30" s="131"/>
      <c r="D30" s="131"/>
      <c r="E30" s="132"/>
      <c r="F30" s="133"/>
      <c r="G30" s="134">
        <f>SUM(B30:F30)</f>
        <v>1923.41</v>
      </c>
      <c r="H30" s="118">
        <v>154.91999999999999</v>
      </c>
      <c r="I30" s="118"/>
      <c r="J30" s="118">
        <f>62.15+2.73</f>
        <v>64.88</v>
      </c>
      <c r="K30" s="118">
        <f>SUM(H30:J30)</f>
        <v>219.79999999999998</v>
      </c>
      <c r="L30" s="118">
        <f>G30-K30</f>
        <v>1703.6100000000001</v>
      </c>
      <c r="M30" s="5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 thickTop="1" x14ac:dyDescent="0.25">
      <c r="A31" s="116" t="s">
        <v>112</v>
      </c>
      <c r="B31" s="129"/>
      <c r="C31" s="129"/>
      <c r="D31" s="129"/>
      <c r="E31" s="130"/>
      <c r="F31" s="130"/>
      <c r="G31" s="130"/>
      <c r="H31" s="129"/>
      <c r="I31" s="129"/>
      <c r="J31" s="129"/>
      <c r="K31" s="129"/>
      <c r="L31" s="129"/>
      <c r="M31" s="5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 x14ac:dyDescent="0.25">
      <c r="A32" s="119" t="s">
        <v>113</v>
      </c>
      <c r="B32" s="129"/>
      <c r="C32" s="129"/>
      <c r="D32" s="129"/>
      <c r="E32" s="130"/>
      <c r="F32" s="130"/>
      <c r="G32" s="130"/>
      <c r="H32" s="129"/>
      <c r="I32" s="129"/>
      <c r="J32" s="129"/>
      <c r="K32" s="129"/>
      <c r="L32" s="129"/>
      <c r="M32" s="5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 thickBot="1" x14ac:dyDescent="0.3">
      <c r="A33" s="114">
        <v>44580</v>
      </c>
      <c r="B33" s="131">
        <v>3578.94</v>
      </c>
      <c r="C33" s="131"/>
      <c r="D33" s="131"/>
      <c r="E33" s="132"/>
      <c r="F33" s="133"/>
      <c r="G33" s="134">
        <f>SUM(B33:F33)</f>
        <v>3578.94</v>
      </c>
      <c r="H33" s="118">
        <v>338.47</v>
      </c>
      <c r="I33" s="118">
        <v>131.27000000000001</v>
      </c>
      <c r="J33" s="118">
        <f>35.79+62.15+2.99+224.59+88.71</f>
        <v>414.22999999999996</v>
      </c>
      <c r="K33" s="118">
        <f>SUM(H33:J33)</f>
        <v>883.97</v>
      </c>
      <c r="L33" s="118">
        <f>G33-K33</f>
        <v>2694.9700000000003</v>
      </c>
      <c r="M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 thickTop="1" x14ac:dyDescent="0.25">
      <c r="A34" s="115" t="s">
        <v>114</v>
      </c>
      <c r="B34" s="145"/>
      <c r="C34" s="145"/>
      <c r="D34" s="145"/>
      <c r="E34" s="146"/>
      <c r="F34" s="146"/>
      <c r="G34" s="146"/>
      <c r="H34" s="145"/>
      <c r="I34" s="145"/>
      <c r="J34" s="145"/>
      <c r="K34" s="145"/>
      <c r="L34" s="145"/>
      <c r="M34" s="5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 x14ac:dyDescent="0.25">
      <c r="A35" s="120" t="s">
        <v>100</v>
      </c>
      <c r="B35" s="135"/>
      <c r="C35" s="135"/>
      <c r="D35" s="135"/>
      <c r="E35" s="136"/>
      <c r="F35" s="136"/>
      <c r="G35" s="130"/>
      <c r="H35" s="129"/>
      <c r="I35" s="129"/>
      <c r="J35" s="129"/>
      <c r="K35" s="129"/>
      <c r="L35" s="129"/>
      <c r="M35" s="5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 thickBot="1" x14ac:dyDescent="0.3">
      <c r="A36" s="114">
        <v>43325</v>
      </c>
      <c r="B36" s="131">
        <v>2058.0500000000002</v>
      </c>
      <c r="C36" s="131"/>
      <c r="D36" s="131"/>
      <c r="E36" s="132"/>
      <c r="F36" s="133"/>
      <c r="G36" s="134">
        <f>SUM(B36:F36)</f>
        <v>2058.0500000000002</v>
      </c>
      <c r="H36" s="144">
        <v>167.04</v>
      </c>
      <c r="I36" s="118"/>
      <c r="J36" s="144">
        <f>62.15+2.86+120.51+29.57</f>
        <v>215.09</v>
      </c>
      <c r="K36" s="118">
        <f>SUM(H36:J36)</f>
        <v>382.13</v>
      </c>
      <c r="L36" s="118">
        <f>G36-K36</f>
        <v>1675.92</v>
      </c>
      <c r="M36" s="5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 thickTop="1" x14ac:dyDescent="0.25">
      <c r="A37" s="116" t="s">
        <v>115</v>
      </c>
      <c r="B37" s="135"/>
      <c r="C37" s="135"/>
      <c r="D37" s="135"/>
      <c r="E37" s="136"/>
      <c r="F37" s="136"/>
      <c r="G37" s="130"/>
      <c r="H37" s="129"/>
      <c r="I37" s="129"/>
      <c r="J37" s="129"/>
      <c r="K37" s="129"/>
      <c r="L37" s="129"/>
      <c r="M37" s="5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 x14ac:dyDescent="0.25">
      <c r="A38" s="119" t="s">
        <v>116</v>
      </c>
      <c r="B38" s="135"/>
      <c r="C38" s="135"/>
      <c r="D38" s="135"/>
      <c r="E38" s="136"/>
      <c r="F38" s="136"/>
      <c r="G38" s="130"/>
      <c r="H38" s="129"/>
      <c r="I38" s="129"/>
      <c r="J38" s="129"/>
      <c r="K38" s="129"/>
      <c r="L38" s="129"/>
      <c r="M38" s="5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 thickBot="1" x14ac:dyDescent="0.3">
      <c r="A39" s="114">
        <v>43325</v>
      </c>
      <c r="B39" s="131">
        <v>2058.0500000000002</v>
      </c>
      <c r="C39" s="131"/>
      <c r="D39" s="131"/>
      <c r="E39" s="132">
        <v>149.37</v>
      </c>
      <c r="F39" s="133"/>
      <c r="G39" s="134">
        <f>SUM(B39:F39)</f>
        <v>2207.42</v>
      </c>
      <c r="H39" s="118">
        <v>180.48</v>
      </c>
      <c r="I39" s="118"/>
      <c r="J39" s="118">
        <f>20.58+62.15+2.86+66.85</f>
        <v>152.44</v>
      </c>
      <c r="K39" s="118">
        <f>H39+I39+J39</f>
        <v>332.91999999999996</v>
      </c>
      <c r="L39" s="118">
        <f>G39-K39</f>
        <v>1874.5</v>
      </c>
      <c r="M39" s="5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 thickTop="1" x14ac:dyDescent="0.25">
      <c r="A40" s="116" t="s">
        <v>117</v>
      </c>
      <c r="B40" s="129"/>
      <c r="C40" s="129"/>
      <c r="D40" s="129"/>
      <c r="E40" s="130"/>
      <c r="F40" s="130"/>
      <c r="G40" s="130"/>
      <c r="H40" s="129"/>
      <c r="I40" s="129"/>
      <c r="J40" s="129"/>
      <c r="K40" s="129"/>
      <c r="L40" s="129"/>
      <c r="M40" s="5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 x14ac:dyDescent="0.25">
      <c r="A41" s="120" t="s">
        <v>100</v>
      </c>
      <c r="B41" s="129"/>
      <c r="C41" s="129"/>
      <c r="D41" s="129"/>
      <c r="E41" s="130"/>
      <c r="F41" s="130"/>
      <c r="G41" s="130"/>
      <c r="H41" s="129"/>
      <c r="I41" s="129"/>
      <c r="J41" s="129"/>
      <c r="K41" s="129"/>
      <c r="L41" s="129"/>
      <c r="M41" s="5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 thickBot="1" x14ac:dyDescent="0.3">
      <c r="A42" s="117">
        <v>43479</v>
      </c>
      <c r="B42" s="118">
        <v>1923.41</v>
      </c>
      <c r="C42" s="118"/>
      <c r="D42" s="118"/>
      <c r="E42" s="134"/>
      <c r="F42" s="87"/>
      <c r="G42" s="134">
        <f>SUM(B42:F42)</f>
        <v>1923.41</v>
      </c>
      <c r="H42" s="118">
        <v>154.91999999999999</v>
      </c>
      <c r="I42" s="118"/>
      <c r="J42" s="118">
        <f>19.23+62.15+2.99+433.34</f>
        <v>517.70999999999992</v>
      </c>
      <c r="K42" s="118">
        <f>H42+I42+J42</f>
        <v>672.62999999999988</v>
      </c>
      <c r="L42" s="118">
        <f>G42-K42</f>
        <v>1250.7800000000002</v>
      </c>
      <c r="M42" s="5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 thickTop="1" x14ac:dyDescent="0.25">
      <c r="A43" s="116" t="s">
        <v>118</v>
      </c>
      <c r="B43" s="141"/>
      <c r="C43" s="141"/>
      <c r="D43" s="141"/>
      <c r="E43" s="140"/>
      <c r="F43" s="147"/>
      <c r="G43" s="140"/>
      <c r="H43" s="141"/>
      <c r="I43" s="141"/>
      <c r="J43" s="141"/>
      <c r="K43" s="141"/>
      <c r="L43" s="141"/>
      <c r="M43" s="5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 x14ac:dyDescent="0.25">
      <c r="A44" s="120" t="s">
        <v>119</v>
      </c>
      <c r="B44" s="129"/>
      <c r="C44" s="129"/>
      <c r="D44" s="129"/>
      <c r="E44" s="130"/>
      <c r="F44" s="130"/>
      <c r="G44" s="130"/>
      <c r="H44" s="129"/>
      <c r="I44" s="129"/>
      <c r="J44" s="129"/>
      <c r="K44" s="129"/>
      <c r="L44" s="129"/>
      <c r="M44" s="5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 customHeight="1" thickBot="1" x14ac:dyDescent="0.3">
      <c r="A45" s="117">
        <v>44341</v>
      </c>
      <c r="B45" s="118">
        <v>1797.58</v>
      </c>
      <c r="C45" s="118"/>
      <c r="D45" s="118"/>
      <c r="E45" s="134"/>
      <c r="F45" s="87"/>
      <c r="G45" s="134">
        <f>SUM(B45:F45)</f>
        <v>1797.58</v>
      </c>
      <c r="H45" s="118">
        <v>143.6</v>
      </c>
      <c r="I45" s="118"/>
      <c r="J45" s="118">
        <f>62.15+2.99+147.85</f>
        <v>212.99</v>
      </c>
      <c r="K45" s="118">
        <f>H45+I45+J45</f>
        <v>356.59000000000003</v>
      </c>
      <c r="L45" s="118">
        <f>G45-K45</f>
        <v>1440.9899999999998</v>
      </c>
      <c r="M45" s="5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4.25" customHeight="1" thickTop="1" x14ac:dyDescent="0.25">
      <c r="A46" s="148"/>
      <c r="B46" s="141"/>
      <c r="C46" s="141"/>
      <c r="D46" s="141"/>
      <c r="E46" s="140"/>
      <c r="F46" s="147"/>
      <c r="G46" s="140"/>
      <c r="H46" s="141"/>
      <c r="I46" s="141"/>
      <c r="J46" s="141"/>
      <c r="K46" s="141"/>
      <c r="L46" s="141"/>
      <c r="M46" s="5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 customHeight="1" x14ac:dyDescent="0.25">
      <c r="A47" s="258" t="s">
        <v>159</v>
      </c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5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customHeight="1" thickBot="1" x14ac:dyDescent="0.3">
      <c r="A48" s="121" t="s">
        <v>60</v>
      </c>
      <c r="B48" s="122">
        <v>2022</v>
      </c>
      <c r="C48" s="149"/>
      <c r="D48" s="149"/>
      <c r="E48" s="150"/>
      <c r="F48" s="150"/>
      <c r="G48" s="150"/>
      <c r="H48" s="149"/>
      <c r="I48" s="149"/>
      <c r="J48" s="149"/>
      <c r="K48" s="149"/>
      <c r="L48" s="149"/>
      <c r="M48" s="5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x14ac:dyDescent="0.25">
      <c r="A49" s="125" t="s">
        <v>2</v>
      </c>
      <c r="B49" s="259" t="s">
        <v>3</v>
      </c>
      <c r="C49" s="259" t="s">
        <v>92</v>
      </c>
      <c r="D49" s="260" t="s">
        <v>93</v>
      </c>
      <c r="E49" s="261" t="s">
        <v>8</v>
      </c>
      <c r="F49" s="263" t="s">
        <v>94</v>
      </c>
      <c r="G49" s="263" t="s">
        <v>9</v>
      </c>
      <c r="H49" s="259" t="s">
        <v>11</v>
      </c>
      <c r="I49" s="259" t="s">
        <v>95</v>
      </c>
      <c r="J49" s="260" t="s">
        <v>12</v>
      </c>
      <c r="K49" s="260" t="s">
        <v>13</v>
      </c>
      <c r="L49" s="260" t="s">
        <v>14</v>
      </c>
      <c r="M49" s="5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x14ac:dyDescent="0.25">
      <c r="A50" s="126" t="s">
        <v>15</v>
      </c>
      <c r="B50" s="249"/>
      <c r="C50" s="249"/>
      <c r="D50" s="249"/>
      <c r="E50" s="261"/>
      <c r="F50" s="249"/>
      <c r="G50" s="249"/>
      <c r="H50" s="249"/>
      <c r="I50" s="249"/>
      <c r="J50" s="249"/>
      <c r="K50" s="249"/>
      <c r="L50" s="249"/>
      <c r="M50" s="5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thickBot="1" x14ac:dyDescent="0.3">
      <c r="A51" s="127" t="s">
        <v>16</v>
      </c>
      <c r="B51" s="250"/>
      <c r="C51" s="250"/>
      <c r="D51" s="250"/>
      <c r="E51" s="262"/>
      <c r="F51" s="250"/>
      <c r="G51" s="250"/>
      <c r="H51" s="250"/>
      <c r="I51" s="250"/>
      <c r="J51" s="250"/>
      <c r="K51" s="250"/>
      <c r="L51" s="250"/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thickTop="1" thickBot="1" x14ac:dyDescent="0.3">
      <c r="A52" s="151" t="s">
        <v>120</v>
      </c>
      <c r="B52" s="264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thickTop="1" x14ac:dyDescent="0.25">
      <c r="A53" s="116" t="s">
        <v>121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5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142" t="s">
        <v>122</v>
      </c>
      <c r="B54" s="137"/>
      <c r="C54" s="137"/>
      <c r="D54" s="137"/>
      <c r="E54" s="138"/>
      <c r="F54" s="138"/>
      <c r="G54" s="140"/>
      <c r="H54" s="141"/>
      <c r="I54" s="141"/>
      <c r="J54" s="141"/>
      <c r="K54" s="141"/>
      <c r="L54" s="141"/>
      <c r="M54" s="5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thickBot="1" x14ac:dyDescent="0.3">
      <c r="A55" s="153">
        <v>38054</v>
      </c>
      <c r="B55" s="131">
        <v>2886.52</v>
      </c>
      <c r="C55" s="131"/>
      <c r="D55" s="131">
        <v>57.73</v>
      </c>
      <c r="E55" s="132">
        <v>1298.94</v>
      </c>
      <c r="F55" s="132"/>
      <c r="G55" s="134">
        <f>SUM(B55:F55)</f>
        <v>4243.1900000000005</v>
      </c>
      <c r="H55" s="118">
        <v>430.22</v>
      </c>
      <c r="I55" s="118">
        <v>221.79</v>
      </c>
      <c r="J55" s="118">
        <f>62.15+2.34+126.81</f>
        <v>191.3</v>
      </c>
      <c r="K55" s="118">
        <f>H55+I55+J55</f>
        <v>843.31</v>
      </c>
      <c r="L55" s="118">
        <f>G55-K55</f>
        <v>3399.8800000000006</v>
      </c>
      <c r="M55" s="5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.75" customHeight="1" thickTop="1" x14ac:dyDescent="0.25">
      <c r="A56" s="116" t="s">
        <v>123</v>
      </c>
      <c r="B56" s="137"/>
      <c r="C56" s="137"/>
      <c r="D56" s="137"/>
      <c r="E56" s="138"/>
      <c r="F56" s="138"/>
      <c r="G56" s="140"/>
      <c r="H56" s="141"/>
      <c r="I56" s="141"/>
      <c r="J56" s="141"/>
      <c r="K56" s="141"/>
      <c r="L56" s="141"/>
      <c r="M56" s="5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 customHeight="1" x14ac:dyDescent="0.25">
      <c r="A57" s="142" t="s">
        <v>108</v>
      </c>
      <c r="B57" s="137"/>
      <c r="C57" s="137"/>
      <c r="D57" s="137"/>
      <c r="E57" s="138"/>
      <c r="F57" s="138"/>
      <c r="G57" s="140"/>
      <c r="H57" s="141"/>
      <c r="I57" s="141"/>
      <c r="J57" s="141"/>
      <c r="K57" s="141"/>
      <c r="L57" s="141"/>
      <c r="M57" s="5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 customHeight="1" thickBot="1" x14ac:dyDescent="0.3">
      <c r="A58" s="153">
        <v>44319</v>
      </c>
      <c r="B58" s="131">
        <v>1507.65</v>
      </c>
      <c r="C58" s="131">
        <f>399.47</f>
        <v>399.47</v>
      </c>
      <c r="D58" s="131"/>
      <c r="E58" s="132"/>
      <c r="F58" s="132"/>
      <c r="G58" s="134">
        <f>SUM(B58:F58)</f>
        <v>1907.1200000000001</v>
      </c>
      <c r="H58" s="118">
        <f>123.5+29.96</f>
        <v>153.46</v>
      </c>
      <c r="I58" s="118"/>
      <c r="J58" s="118">
        <f>62.15+2.08+126.81</f>
        <v>191.04000000000002</v>
      </c>
      <c r="K58" s="118">
        <f>H58+I58+J58</f>
        <v>344.5</v>
      </c>
      <c r="L58" s="118">
        <f>G58-K58</f>
        <v>1562.6200000000001</v>
      </c>
      <c r="M58" s="5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.75" customHeight="1" thickTop="1" x14ac:dyDescent="0.25">
      <c r="A59" s="116" t="s">
        <v>124</v>
      </c>
      <c r="B59" s="137"/>
      <c r="C59" s="137"/>
      <c r="D59" s="137"/>
      <c r="E59" s="138"/>
      <c r="F59" s="138"/>
      <c r="G59" s="140"/>
      <c r="H59" s="141"/>
      <c r="I59" s="141"/>
      <c r="J59" s="141"/>
      <c r="K59" s="141"/>
      <c r="L59" s="141"/>
      <c r="M59" s="5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customHeight="1" x14ac:dyDescent="0.25">
      <c r="A60" s="142" t="s">
        <v>116</v>
      </c>
      <c r="B60" s="137"/>
      <c r="C60" s="137"/>
      <c r="D60" s="137"/>
      <c r="E60" s="138"/>
      <c r="F60" s="138"/>
      <c r="G60" s="140"/>
      <c r="H60" s="141"/>
      <c r="I60" s="141"/>
      <c r="J60" s="141"/>
      <c r="K60" s="141"/>
      <c r="L60" s="141"/>
      <c r="M60" s="5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 customHeight="1" thickBot="1" x14ac:dyDescent="0.3">
      <c r="A61" s="153">
        <v>43845</v>
      </c>
      <c r="B61" s="131">
        <v>1923.41</v>
      </c>
      <c r="C61" s="131"/>
      <c r="D61" s="131"/>
      <c r="E61" s="132"/>
      <c r="F61" s="132"/>
      <c r="G61" s="134">
        <f>SUM(B61:F61)</f>
        <v>1923.41</v>
      </c>
      <c r="H61" s="118">
        <v>154.91999999999999</v>
      </c>
      <c r="I61" s="118"/>
      <c r="J61" s="118">
        <f>19.23+62.15+2.73+205.26</f>
        <v>289.37</v>
      </c>
      <c r="K61" s="118">
        <f>H61+I61+J61</f>
        <v>444.28999999999996</v>
      </c>
      <c r="L61" s="118">
        <f>G61-K61</f>
        <v>1479.1200000000001</v>
      </c>
      <c r="M61" s="5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 customHeight="1" thickTop="1" x14ac:dyDescent="0.25">
      <c r="A62" s="116" t="s">
        <v>125</v>
      </c>
      <c r="B62" s="137"/>
      <c r="C62" s="137"/>
      <c r="D62" s="137"/>
      <c r="E62" s="138"/>
      <c r="F62" s="138"/>
      <c r="G62" s="140"/>
      <c r="H62" s="141"/>
      <c r="I62" s="141"/>
      <c r="J62" s="141"/>
      <c r="K62" s="141"/>
      <c r="L62" s="141"/>
      <c r="M62" s="5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A63" s="142" t="s">
        <v>126</v>
      </c>
      <c r="B63" s="137"/>
      <c r="C63" s="137"/>
      <c r="D63" s="137"/>
      <c r="E63" s="138"/>
      <c r="F63" s="138"/>
      <c r="G63" s="140"/>
      <c r="H63" s="141"/>
      <c r="I63" s="141"/>
      <c r="J63" s="141"/>
      <c r="K63" s="141"/>
      <c r="L63" s="141"/>
      <c r="M63" s="5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thickBot="1" x14ac:dyDescent="0.3">
      <c r="A64" s="153">
        <v>39783</v>
      </c>
      <c r="B64" s="131">
        <v>2886.52</v>
      </c>
      <c r="C64" s="131"/>
      <c r="D64" s="131">
        <v>57.73</v>
      </c>
      <c r="E64" s="132">
        <v>1298.93</v>
      </c>
      <c r="F64" s="132"/>
      <c r="G64" s="134">
        <f>SUM(B64:F64)</f>
        <v>4243.18</v>
      </c>
      <c r="H64" s="118">
        <v>430.22</v>
      </c>
      <c r="I64" s="118">
        <v>221.79</v>
      </c>
      <c r="J64" s="118">
        <f>62.15+2.21+994.14+88.71</f>
        <v>1147.21</v>
      </c>
      <c r="K64" s="118">
        <f>H64+I64+J64</f>
        <v>1799.22</v>
      </c>
      <c r="L64" s="118">
        <f>G64-K64</f>
        <v>2443.96</v>
      </c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thickTop="1" x14ac:dyDescent="0.25">
      <c r="A65" s="115" t="s">
        <v>127</v>
      </c>
      <c r="B65" s="135"/>
      <c r="C65" s="154"/>
      <c r="D65" s="154"/>
      <c r="E65" s="155"/>
      <c r="F65" s="156"/>
      <c r="G65" s="157"/>
      <c r="H65" s="158"/>
      <c r="I65" s="158"/>
      <c r="J65" s="158"/>
      <c r="K65" s="158"/>
      <c r="L65" s="158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A66" s="120" t="s">
        <v>116</v>
      </c>
      <c r="B66" s="135"/>
      <c r="C66" s="154"/>
      <c r="D66" s="154"/>
      <c r="E66" s="155"/>
      <c r="F66" s="156"/>
      <c r="G66" s="157"/>
      <c r="H66" s="158"/>
      <c r="I66" s="158"/>
      <c r="J66" s="158"/>
      <c r="K66" s="158"/>
      <c r="L66" s="158"/>
      <c r="M66" s="5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thickBot="1" x14ac:dyDescent="0.3">
      <c r="A67" s="153">
        <v>43325</v>
      </c>
      <c r="B67" s="131">
        <v>2058.0500000000002</v>
      </c>
      <c r="C67" s="131"/>
      <c r="D67" s="131"/>
      <c r="E67" s="132">
        <v>298.75</v>
      </c>
      <c r="F67" s="132"/>
      <c r="G67" s="134">
        <f>SUM(B67:F67)</f>
        <v>2356.8000000000002</v>
      </c>
      <c r="H67" s="118">
        <v>193.93</v>
      </c>
      <c r="I67" s="118">
        <v>19.420000000000002</v>
      </c>
      <c r="J67" s="118">
        <f>62.15+2.99+66.85+29.57</f>
        <v>161.56</v>
      </c>
      <c r="K67" s="118">
        <f>H67+I67+J67</f>
        <v>374.91</v>
      </c>
      <c r="L67" s="118">
        <f>G67-K67</f>
        <v>1981.89</v>
      </c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thickTop="1" x14ac:dyDescent="0.25">
      <c r="A68" s="115" t="s">
        <v>155</v>
      </c>
      <c r="B68" s="135"/>
      <c r="C68" s="154"/>
      <c r="D68" s="154"/>
      <c r="E68" s="155"/>
      <c r="F68" s="156"/>
      <c r="G68" s="157"/>
      <c r="H68" s="158"/>
      <c r="I68" s="158"/>
      <c r="J68" s="158"/>
      <c r="K68" s="158"/>
      <c r="L68" s="158"/>
      <c r="M68" s="5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120" t="s">
        <v>156</v>
      </c>
      <c r="B69" s="135"/>
      <c r="C69" s="154"/>
      <c r="D69" s="154"/>
      <c r="E69" s="155"/>
      <c r="F69" s="156"/>
      <c r="G69" s="157"/>
      <c r="H69" s="158"/>
      <c r="I69" s="158"/>
      <c r="J69" s="158"/>
      <c r="K69" s="158"/>
      <c r="L69" s="158"/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thickBot="1" x14ac:dyDescent="0.3">
      <c r="A70" s="153">
        <v>44686</v>
      </c>
      <c r="B70" s="131">
        <v>1797.58</v>
      </c>
      <c r="C70" s="131"/>
      <c r="D70" s="131"/>
      <c r="E70" s="132"/>
      <c r="F70" s="132"/>
      <c r="G70" s="134">
        <f>SUM(B70:F70)</f>
        <v>1797.58</v>
      </c>
      <c r="H70" s="118">
        <v>143.6</v>
      </c>
      <c r="I70" s="118"/>
      <c r="J70" s="118">
        <f>17.98+62.15+2.99</f>
        <v>83.11999999999999</v>
      </c>
      <c r="K70" s="118">
        <f>H70+I70+J70</f>
        <v>226.71999999999997</v>
      </c>
      <c r="L70" s="118">
        <f>G70-K70</f>
        <v>1570.86</v>
      </c>
      <c r="M70" s="5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thickTop="1" x14ac:dyDescent="0.25">
      <c r="A71" s="116" t="s">
        <v>128</v>
      </c>
      <c r="B71" s="135"/>
      <c r="C71" s="135"/>
      <c r="D71" s="135"/>
      <c r="E71" s="136"/>
      <c r="F71" s="136"/>
      <c r="G71" s="130"/>
      <c r="H71" s="129"/>
      <c r="I71" s="129"/>
      <c r="J71" s="129"/>
      <c r="K71" s="129"/>
      <c r="L71" s="129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x14ac:dyDescent="0.25">
      <c r="A72" s="119" t="s">
        <v>116</v>
      </c>
      <c r="B72" s="135"/>
      <c r="C72" s="135"/>
      <c r="D72" s="135"/>
      <c r="E72" s="136"/>
      <c r="F72" s="136"/>
      <c r="G72" s="130"/>
      <c r="H72" s="129"/>
      <c r="I72" s="129"/>
      <c r="J72" s="129"/>
      <c r="K72" s="129"/>
      <c r="L72" s="129"/>
      <c r="M72" s="5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thickBot="1" x14ac:dyDescent="0.3">
      <c r="A73" s="114">
        <v>43325</v>
      </c>
      <c r="B73" s="131">
        <v>2058.0500000000002</v>
      </c>
      <c r="C73" s="131"/>
      <c r="D73" s="131"/>
      <c r="E73" s="132">
        <v>627.37</v>
      </c>
      <c r="F73" s="133"/>
      <c r="G73" s="134">
        <f>SUM(B73:F73)</f>
        <v>2685.42</v>
      </c>
      <c r="H73" s="118">
        <v>231.24</v>
      </c>
      <c r="I73" s="118">
        <v>41.26</v>
      </c>
      <c r="J73" s="118">
        <f>20.58+62.15+2.99+275.45</f>
        <v>361.16999999999996</v>
      </c>
      <c r="K73" s="118">
        <f>H73+I73+J73</f>
        <v>633.66999999999996</v>
      </c>
      <c r="L73" s="118">
        <f>G73-K73</f>
        <v>2051.75</v>
      </c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thickTop="1" x14ac:dyDescent="0.25">
      <c r="A74" s="151" t="s">
        <v>129</v>
      </c>
      <c r="B74" s="264"/>
      <c r="C74" s="236"/>
      <c r="D74" s="236"/>
      <c r="E74" s="236"/>
      <c r="F74" s="236"/>
      <c r="G74" s="236"/>
      <c r="H74" s="236"/>
      <c r="I74" s="236"/>
      <c r="J74" s="236"/>
      <c r="K74" s="236"/>
      <c r="L74" s="236"/>
      <c r="M74" s="5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x14ac:dyDescent="0.25">
      <c r="A75" s="115" t="s">
        <v>130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x14ac:dyDescent="0.25">
      <c r="A76" s="120" t="s">
        <v>131</v>
      </c>
      <c r="B76" s="135"/>
      <c r="C76" s="154"/>
      <c r="D76" s="154"/>
      <c r="E76" s="155"/>
      <c r="F76" s="156"/>
      <c r="G76" s="157"/>
      <c r="H76" s="158"/>
      <c r="I76" s="158"/>
      <c r="J76" s="158"/>
      <c r="K76" s="158"/>
      <c r="L76" s="158"/>
      <c r="M76" s="5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thickBot="1" x14ac:dyDescent="0.3">
      <c r="A77" s="153">
        <v>44509</v>
      </c>
      <c r="B77" s="131">
        <v>2663.52</v>
      </c>
      <c r="C77" s="131"/>
      <c r="D77" s="131"/>
      <c r="E77" s="132"/>
      <c r="F77" s="132"/>
      <c r="G77" s="134">
        <f>SUM(B77:F77)</f>
        <v>2663.52</v>
      </c>
      <c r="H77" s="118">
        <v>222.28</v>
      </c>
      <c r="I77" s="118">
        <v>36.33</v>
      </c>
      <c r="J77" s="118">
        <f>26.64+52.83+62.15+2.99</f>
        <v>144.61000000000001</v>
      </c>
      <c r="K77" s="118">
        <f>H77+I77+J77</f>
        <v>403.22</v>
      </c>
      <c r="L77" s="118">
        <f>G77-K77</f>
        <v>2260.3000000000002</v>
      </c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thickTop="1" x14ac:dyDescent="0.25">
      <c r="A78" s="116" t="s">
        <v>132</v>
      </c>
      <c r="B78" s="160"/>
      <c r="C78" s="160"/>
      <c r="D78" s="160"/>
      <c r="E78" s="160"/>
      <c r="F78" s="160"/>
      <c r="G78" s="161"/>
      <c r="H78" s="161"/>
      <c r="I78" s="161"/>
      <c r="J78" s="161"/>
      <c r="K78" s="161"/>
      <c r="L78" s="161"/>
      <c r="M78" s="5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x14ac:dyDescent="0.25">
      <c r="A79" s="120" t="s">
        <v>133</v>
      </c>
      <c r="B79" s="135"/>
      <c r="C79" s="135"/>
      <c r="D79" s="135"/>
      <c r="E79" s="136"/>
      <c r="F79" s="136"/>
      <c r="G79" s="130"/>
      <c r="H79" s="129"/>
      <c r="I79" s="129"/>
      <c r="J79" s="129"/>
      <c r="K79" s="129"/>
      <c r="L79" s="129"/>
      <c r="M79" s="52"/>
      <c r="N79" s="1"/>
      <c r="O79" s="1"/>
      <c r="P79" s="34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6.5" customHeight="1" thickBot="1" x14ac:dyDescent="0.3">
      <c r="A80" s="114">
        <v>43325</v>
      </c>
      <c r="B80" s="131">
        <v>3049.46</v>
      </c>
      <c r="C80" s="131"/>
      <c r="D80" s="131"/>
      <c r="E80" s="132">
        <v>1372.25</v>
      </c>
      <c r="F80" s="133"/>
      <c r="G80" s="134">
        <f>SUM(B80:F80)</f>
        <v>4421.71</v>
      </c>
      <c r="H80" s="118">
        <v>455.21</v>
      </c>
      <c r="I80" s="118">
        <v>183.3</v>
      </c>
      <c r="J80" s="118">
        <f>30.49+62.15+2.99+29.57</f>
        <v>125.19999999999999</v>
      </c>
      <c r="K80" s="118">
        <f>H80+I80+J80</f>
        <v>763.71</v>
      </c>
      <c r="L80" s="118">
        <f>G80-K80</f>
        <v>3658</v>
      </c>
      <c r="M80" s="5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thickTop="1" x14ac:dyDescent="0.25">
      <c r="A81" s="151" t="s">
        <v>134</v>
      </c>
      <c r="B81" s="264"/>
      <c r="C81" s="236"/>
      <c r="D81" s="236"/>
      <c r="E81" s="236"/>
      <c r="F81" s="236"/>
      <c r="G81" s="236"/>
      <c r="H81" s="236"/>
      <c r="I81" s="236"/>
      <c r="J81" s="236"/>
      <c r="K81" s="236"/>
      <c r="L81" s="236"/>
      <c r="M81" s="5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x14ac:dyDescent="0.25">
      <c r="A82" s="116" t="s">
        <v>135</v>
      </c>
      <c r="B82" s="160"/>
      <c r="C82" s="160"/>
      <c r="D82" s="160"/>
      <c r="E82" s="160"/>
      <c r="F82" s="160"/>
      <c r="G82" s="161"/>
      <c r="H82" s="161"/>
      <c r="I82" s="161"/>
      <c r="J82" s="161"/>
      <c r="K82" s="161"/>
      <c r="L82" s="161"/>
      <c r="M82" s="5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 x14ac:dyDescent="0.25">
      <c r="A83" s="120" t="s">
        <v>136</v>
      </c>
      <c r="B83" s="135"/>
      <c r="C83" s="135"/>
      <c r="D83" s="135"/>
      <c r="E83" s="136"/>
      <c r="F83" s="136"/>
      <c r="G83" s="130"/>
      <c r="H83" s="129"/>
      <c r="I83" s="129"/>
      <c r="J83" s="129"/>
      <c r="K83" s="129"/>
      <c r="L83" s="129"/>
      <c r="M83" s="52"/>
      <c r="N83" s="1"/>
      <c r="O83" s="1"/>
      <c r="P83" s="34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6.5" customHeight="1" thickBot="1" x14ac:dyDescent="0.3">
      <c r="A84" s="114">
        <v>43675</v>
      </c>
      <c r="B84" s="131">
        <v>2849.96</v>
      </c>
      <c r="C84" s="131"/>
      <c r="D84" s="131"/>
      <c r="E84" s="132"/>
      <c r="F84" s="133"/>
      <c r="G84" s="134">
        <f>SUM(B84:F84)</f>
        <v>2849.96</v>
      </c>
      <c r="H84" s="118">
        <v>250.99</v>
      </c>
      <c r="I84" s="118">
        <v>52.12</v>
      </c>
      <c r="J84" s="118">
        <f>62.15+2.34+101.47</f>
        <v>165.95999999999998</v>
      </c>
      <c r="K84" s="118">
        <f>H84+I84+J84</f>
        <v>469.07</v>
      </c>
      <c r="L84" s="118">
        <f>G84-K84</f>
        <v>2380.89</v>
      </c>
      <c r="M84" s="5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6.5" customHeight="1" thickTop="1" x14ac:dyDescent="0.25">
      <c r="A85" s="142"/>
      <c r="B85" s="137"/>
      <c r="C85" s="137"/>
      <c r="D85" s="137"/>
      <c r="E85" s="138"/>
      <c r="F85" s="139"/>
      <c r="G85" s="140"/>
      <c r="H85" s="141"/>
      <c r="I85" s="141"/>
      <c r="J85" s="141"/>
      <c r="K85" s="141"/>
      <c r="L85" s="141"/>
      <c r="M85" s="5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x14ac:dyDescent="0.25">
      <c r="A86" s="258" t="s">
        <v>159</v>
      </c>
      <c r="B86" s="229"/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5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thickBot="1" x14ac:dyDescent="0.3">
      <c r="A87" s="121" t="s">
        <v>60</v>
      </c>
      <c r="B87" s="122">
        <v>2022</v>
      </c>
      <c r="C87" s="149"/>
      <c r="D87" s="149"/>
      <c r="E87" s="150"/>
      <c r="F87" s="150"/>
      <c r="G87" s="150"/>
      <c r="H87" s="149"/>
      <c r="I87" s="149"/>
      <c r="J87" s="149"/>
      <c r="K87" s="149"/>
      <c r="L87" s="149"/>
      <c r="M87" s="5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 x14ac:dyDescent="0.25">
      <c r="A88" s="125" t="s">
        <v>2</v>
      </c>
      <c r="B88" s="259" t="s">
        <v>3</v>
      </c>
      <c r="C88" s="259" t="s">
        <v>92</v>
      </c>
      <c r="D88" s="260" t="s">
        <v>93</v>
      </c>
      <c r="E88" s="261" t="s">
        <v>8</v>
      </c>
      <c r="F88" s="263" t="s">
        <v>94</v>
      </c>
      <c r="G88" s="263" t="s">
        <v>9</v>
      </c>
      <c r="H88" s="259" t="s">
        <v>11</v>
      </c>
      <c r="I88" s="259" t="s">
        <v>95</v>
      </c>
      <c r="J88" s="260" t="s">
        <v>12</v>
      </c>
      <c r="K88" s="260" t="s">
        <v>13</v>
      </c>
      <c r="L88" s="260" t="s">
        <v>14</v>
      </c>
      <c r="M88" s="5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x14ac:dyDescent="0.25">
      <c r="A89" s="126" t="s">
        <v>15</v>
      </c>
      <c r="B89" s="249"/>
      <c r="C89" s="249"/>
      <c r="D89" s="249"/>
      <c r="E89" s="261"/>
      <c r="F89" s="249"/>
      <c r="G89" s="249"/>
      <c r="H89" s="249"/>
      <c r="I89" s="249"/>
      <c r="J89" s="249"/>
      <c r="K89" s="249"/>
      <c r="L89" s="249"/>
      <c r="M89" s="5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thickBot="1" x14ac:dyDescent="0.3">
      <c r="A90" s="127" t="s">
        <v>16</v>
      </c>
      <c r="B90" s="250"/>
      <c r="C90" s="250"/>
      <c r="D90" s="250"/>
      <c r="E90" s="262"/>
      <c r="F90" s="250"/>
      <c r="G90" s="250"/>
      <c r="H90" s="250"/>
      <c r="I90" s="250"/>
      <c r="J90" s="250"/>
      <c r="K90" s="250"/>
      <c r="L90" s="250"/>
      <c r="M90" s="5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thickTop="1" x14ac:dyDescent="0.25">
      <c r="A91" s="151" t="s">
        <v>137</v>
      </c>
      <c r="B91" s="264"/>
      <c r="C91" s="236"/>
      <c r="D91" s="236"/>
      <c r="E91" s="236"/>
      <c r="F91" s="236"/>
      <c r="G91" s="236"/>
      <c r="H91" s="236"/>
      <c r="I91" s="236"/>
      <c r="J91" s="236"/>
      <c r="K91" s="236"/>
      <c r="L91" s="236"/>
      <c r="M91" s="5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customHeight="1" x14ac:dyDescent="0.25">
      <c r="A92" s="116" t="s">
        <v>138</v>
      </c>
      <c r="B92" s="160"/>
      <c r="C92" s="160"/>
      <c r="D92" s="160"/>
      <c r="E92" s="160"/>
      <c r="F92" s="160"/>
      <c r="G92" s="161"/>
      <c r="H92" s="161"/>
      <c r="I92" s="161"/>
      <c r="J92" s="161"/>
      <c r="K92" s="161"/>
      <c r="L92" s="161"/>
      <c r="M92" s="5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x14ac:dyDescent="0.25">
      <c r="A93" s="120" t="s">
        <v>131</v>
      </c>
      <c r="B93" s="135"/>
      <c r="C93" s="135"/>
      <c r="D93" s="135"/>
      <c r="E93" s="136"/>
      <c r="F93" s="136"/>
      <c r="G93" s="130"/>
      <c r="H93" s="129"/>
      <c r="I93" s="129"/>
      <c r="J93" s="129"/>
      <c r="K93" s="129"/>
      <c r="L93" s="129"/>
      <c r="M93" s="52"/>
      <c r="N93" s="1"/>
      <c r="O93" s="1"/>
      <c r="P93" s="34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6.5" customHeight="1" thickBot="1" x14ac:dyDescent="0.3">
      <c r="A94" s="114">
        <v>44516</v>
      </c>
      <c r="B94" s="131">
        <v>2663.52</v>
      </c>
      <c r="C94" s="131"/>
      <c r="D94" s="131"/>
      <c r="E94" s="132"/>
      <c r="F94" s="133"/>
      <c r="G94" s="134">
        <f>SUM(B94:F94)</f>
        <v>2663.52</v>
      </c>
      <c r="H94" s="118">
        <v>228.62</v>
      </c>
      <c r="I94" s="118">
        <v>25.6</v>
      </c>
      <c r="J94" s="118">
        <f>62.15+2.34</f>
        <v>64.489999999999995</v>
      </c>
      <c r="K94" s="118">
        <f>H94+I94+J94</f>
        <v>318.70999999999998</v>
      </c>
      <c r="L94" s="118">
        <f>G94-K94</f>
        <v>2344.81</v>
      </c>
      <c r="M94" s="5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thickTop="1" x14ac:dyDescent="0.25">
      <c r="A95" s="116" t="s">
        <v>158</v>
      </c>
      <c r="B95" s="160"/>
      <c r="C95" s="160"/>
      <c r="D95" s="160"/>
      <c r="E95" s="160"/>
      <c r="F95" s="160"/>
      <c r="G95" s="161"/>
      <c r="H95" s="161"/>
      <c r="I95" s="161"/>
      <c r="J95" s="161"/>
      <c r="K95" s="161"/>
      <c r="L95" s="161"/>
      <c r="M95" s="5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 x14ac:dyDescent="0.25">
      <c r="A96" s="120" t="s">
        <v>131</v>
      </c>
      <c r="B96" s="135"/>
      <c r="C96" s="135"/>
      <c r="D96" s="135"/>
      <c r="E96" s="136"/>
      <c r="F96" s="136"/>
      <c r="G96" s="130"/>
      <c r="H96" s="129"/>
      <c r="I96" s="129"/>
      <c r="J96" s="129"/>
      <c r="K96" s="129"/>
      <c r="L96" s="129"/>
      <c r="M96" s="52"/>
      <c r="N96" s="1"/>
      <c r="O96" s="1"/>
      <c r="P96" s="34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6.5" customHeight="1" thickBot="1" x14ac:dyDescent="0.3">
      <c r="A97" s="114">
        <v>44739</v>
      </c>
      <c r="B97" s="131">
        <v>2663.52</v>
      </c>
      <c r="C97" s="131"/>
      <c r="D97" s="131"/>
      <c r="E97" s="132"/>
      <c r="F97" s="133"/>
      <c r="G97" s="134">
        <f>SUM(B97:F97)</f>
        <v>2663.52</v>
      </c>
      <c r="H97" s="118">
        <v>228.62</v>
      </c>
      <c r="I97" s="118">
        <v>25.6</v>
      </c>
      <c r="J97" s="118">
        <f>26.63+62.15+1.69</f>
        <v>90.47</v>
      </c>
      <c r="K97" s="118">
        <f>SUM(H97:J97)</f>
        <v>344.69</v>
      </c>
      <c r="L97" s="118">
        <f>G97-K97</f>
        <v>2318.83</v>
      </c>
      <c r="M97" s="5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thickTop="1" x14ac:dyDescent="0.25">
      <c r="A98" s="151" t="s">
        <v>141</v>
      </c>
      <c r="B98" s="264"/>
      <c r="C98" s="236"/>
      <c r="D98" s="236"/>
      <c r="E98" s="236"/>
      <c r="F98" s="236"/>
      <c r="G98" s="236"/>
      <c r="H98" s="236"/>
      <c r="I98" s="236"/>
      <c r="J98" s="236"/>
      <c r="K98" s="236"/>
      <c r="L98" s="236"/>
      <c r="M98" s="5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25">
      <c r="A99" s="116" t="s">
        <v>160</v>
      </c>
      <c r="B99" s="135"/>
      <c r="C99" s="135"/>
      <c r="D99" s="135"/>
      <c r="E99" s="136"/>
      <c r="F99" s="162"/>
      <c r="G99" s="130"/>
      <c r="H99" s="129"/>
      <c r="I99" s="129"/>
      <c r="J99" s="129"/>
      <c r="K99" s="129"/>
      <c r="L99" s="129"/>
      <c r="M99" s="5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x14ac:dyDescent="0.25">
      <c r="A100" s="119" t="s">
        <v>131</v>
      </c>
      <c r="B100" s="135"/>
      <c r="C100" s="135"/>
      <c r="D100" s="135"/>
      <c r="E100" s="136"/>
      <c r="F100" s="162"/>
      <c r="G100" s="130"/>
      <c r="H100" s="129"/>
      <c r="I100" s="129"/>
      <c r="J100" s="129"/>
      <c r="K100" s="129"/>
      <c r="L100" s="129"/>
      <c r="M100" s="5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thickBot="1" x14ac:dyDescent="0.3">
      <c r="A101" s="114">
        <v>44767</v>
      </c>
      <c r="B101" s="131">
        <v>2663.52</v>
      </c>
      <c r="C101" s="131"/>
      <c r="D101" s="131"/>
      <c r="E101" s="132"/>
      <c r="F101" s="133"/>
      <c r="G101" s="134">
        <f>SUM(B101:F101)</f>
        <v>2663.52</v>
      </c>
      <c r="H101" s="118">
        <v>228.62</v>
      </c>
      <c r="I101" s="118">
        <v>39.82</v>
      </c>
      <c r="J101" s="118">
        <f>76.65+2.99</f>
        <v>79.64</v>
      </c>
      <c r="K101" s="118">
        <f>H101+I101+J101</f>
        <v>348.08</v>
      </c>
      <c r="L101" s="118">
        <f>G101-K101</f>
        <v>2315.44</v>
      </c>
      <c r="M101" s="5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thickTop="1" x14ac:dyDescent="0.25">
      <c r="A102" s="163"/>
      <c r="B102" s="164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5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 x14ac:dyDescent="0.25">
      <c r="A103" s="102"/>
      <c r="B103" s="93"/>
      <c r="C103" s="95"/>
      <c r="D103" s="95"/>
      <c r="E103" s="95"/>
      <c r="F103" s="95"/>
      <c r="G103" s="95"/>
      <c r="H103" s="95"/>
      <c r="I103" s="95"/>
      <c r="J103" s="95"/>
      <c r="K103" s="95"/>
      <c r="L103" s="113"/>
      <c r="M103" s="5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 x14ac:dyDescent="0.25">
      <c r="A104" s="1"/>
      <c r="B104" s="60"/>
      <c r="C104" s="60"/>
      <c r="D104" s="60"/>
      <c r="E104" s="76"/>
      <c r="F104" s="76"/>
      <c r="G104" s="76"/>
      <c r="H104" s="60"/>
      <c r="I104" s="60"/>
      <c r="J104" s="60"/>
      <c r="K104" s="60"/>
      <c r="L104" s="60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 x14ac:dyDescent="0.25">
      <c r="A105" s="1"/>
      <c r="B105" s="60"/>
      <c r="C105" s="60"/>
      <c r="D105" s="60"/>
      <c r="E105" s="76"/>
      <c r="F105" s="76"/>
      <c r="G105" s="76"/>
      <c r="H105" s="60"/>
      <c r="I105" s="60"/>
      <c r="J105" s="60"/>
      <c r="K105" s="60"/>
      <c r="L105" s="60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 x14ac:dyDescent="0.25">
      <c r="A106" s="1"/>
      <c r="B106" s="60"/>
      <c r="C106" s="60"/>
      <c r="D106" s="60"/>
      <c r="E106" s="76"/>
      <c r="F106" s="76"/>
      <c r="G106" s="76"/>
      <c r="H106" s="60"/>
      <c r="I106" s="60"/>
      <c r="J106" s="60"/>
      <c r="K106" s="60"/>
      <c r="L106" s="60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customHeight="1" x14ac:dyDescent="0.25">
      <c r="A107" s="1"/>
      <c r="B107" s="60"/>
      <c r="C107" s="60"/>
      <c r="D107" s="60"/>
      <c r="E107" s="76"/>
      <c r="F107" s="76"/>
      <c r="G107" s="76"/>
      <c r="H107" s="60"/>
      <c r="I107" s="60"/>
      <c r="J107" s="60"/>
      <c r="K107" s="60"/>
      <c r="L107" s="60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.75" customHeight="1" x14ac:dyDescent="0.25">
      <c r="A108" s="1"/>
      <c r="B108" s="60"/>
      <c r="C108" s="60"/>
      <c r="D108" s="60"/>
      <c r="E108" s="76"/>
      <c r="F108" s="76"/>
      <c r="G108" s="76"/>
      <c r="H108" s="60"/>
      <c r="I108" s="60"/>
      <c r="J108" s="60"/>
      <c r="K108" s="60"/>
      <c r="L108" s="60"/>
      <c r="M108" s="10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.75" customHeight="1" x14ac:dyDescent="0.25">
      <c r="A109" s="1"/>
      <c r="B109" s="60"/>
      <c r="C109" s="60"/>
      <c r="D109" s="60"/>
      <c r="E109" s="76"/>
      <c r="F109" s="76"/>
      <c r="G109" s="76"/>
      <c r="H109" s="60"/>
      <c r="I109" s="60"/>
      <c r="J109" s="60"/>
      <c r="K109" s="60"/>
      <c r="L109" s="64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5.75" customHeight="1" x14ac:dyDescent="0.25">
      <c r="A110" s="1"/>
      <c r="B110" s="60"/>
      <c r="C110" s="60"/>
      <c r="D110" s="60"/>
      <c r="E110" s="76"/>
      <c r="F110" s="76"/>
      <c r="G110" s="76"/>
      <c r="H110" s="60"/>
      <c r="I110" s="60"/>
      <c r="J110" s="60"/>
      <c r="K110" s="60"/>
      <c r="L110" s="60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5.75" customHeight="1" x14ac:dyDescent="0.25">
      <c r="A111" s="1"/>
      <c r="B111" s="60"/>
      <c r="C111" s="60"/>
      <c r="D111" s="60"/>
      <c r="E111" s="76"/>
      <c r="F111" s="76"/>
      <c r="G111" s="76"/>
      <c r="H111" s="60"/>
      <c r="I111" s="60"/>
      <c r="J111" s="60"/>
      <c r="K111" s="60"/>
      <c r="L111" s="60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5.75" customHeight="1" x14ac:dyDescent="0.25">
      <c r="A112" s="1"/>
      <c r="B112" s="60"/>
      <c r="C112" s="60"/>
      <c r="D112" s="60"/>
      <c r="E112" s="76"/>
      <c r="F112" s="76"/>
      <c r="G112" s="76"/>
      <c r="H112" s="60"/>
      <c r="I112" s="60"/>
      <c r="J112" s="60"/>
      <c r="K112" s="60"/>
      <c r="L112" s="60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.75" customHeight="1" x14ac:dyDescent="0.25">
      <c r="A113" s="1"/>
      <c r="B113" s="60"/>
      <c r="C113" s="60"/>
      <c r="D113" s="60"/>
      <c r="E113" s="76"/>
      <c r="F113" s="76"/>
      <c r="G113" s="76"/>
      <c r="H113" s="60"/>
      <c r="I113" s="60"/>
      <c r="J113" s="60"/>
      <c r="K113" s="60"/>
      <c r="L113" s="6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.75" customHeight="1" x14ac:dyDescent="0.25">
      <c r="A114" s="1"/>
      <c r="B114" s="60"/>
      <c r="C114" s="60"/>
      <c r="D114" s="60"/>
      <c r="E114" s="76"/>
      <c r="F114" s="76"/>
      <c r="G114" s="76"/>
      <c r="H114" s="60"/>
      <c r="I114" s="60"/>
      <c r="J114" s="60"/>
      <c r="K114" s="60"/>
      <c r="L114" s="6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.75" customHeight="1" x14ac:dyDescent="0.25">
      <c r="A115" s="1"/>
      <c r="B115" s="60"/>
      <c r="C115" s="60"/>
      <c r="D115" s="60"/>
      <c r="E115" s="76"/>
      <c r="F115" s="76"/>
      <c r="G115" s="76"/>
      <c r="H115" s="60"/>
      <c r="I115" s="60"/>
      <c r="J115" s="60"/>
      <c r="K115" s="60"/>
      <c r="L115" s="6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 x14ac:dyDescent="0.25">
      <c r="A116" s="1"/>
      <c r="B116" s="60"/>
      <c r="C116" s="60"/>
      <c r="D116" s="60"/>
      <c r="E116" s="76"/>
      <c r="F116" s="76"/>
      <c r="G116" s="76"/>
      <c r="H116" s="60"/>
      <c r="I116" s="60"/>
      <c r="J116" s="60"/>
      <c r="K116" s="60"/>
      <c r="L116" s="60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 x14ac:dyDescent="0.25">
      <c r="A117" s="1"/>
      <c r="B117" s="60"/>
      <c r="C117" s="60"/>
      <c r="D117" s="60"/>
      <c r="E117" s="76"/>
      <c r="F117" s="76"/>
      <c r="G117" s="76"/>
      <c r="H117" s="60"/>
      <c r="I117" s="60"/>
      <c r="J117" s="60"/>
      <c r="K117" s="60"/>
      <c r="L117" s="60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 x14ac:dyDescent="0.25">
      <c r="A118" s="1"/>
      <c r="B118" s="60"/>
      <c r="C118" s="60"/>
      <c r="D118" s="60"/>
      <c r="E118" s="76"/>
      <c r="F118" s="76"/>
      <c r="G118" s="76"/>
      <c r="H118" s="60"/>
      <c r="I118" s="60"/>
      <c r="J118" s="60"/>
      <c r="K118" s="60"/>
      <c r="L118" s="6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 x14ac:dyDescent="0.25">
      <c r="A119" s="1"/>
      <c r="B119" s="60"/>
      <c r="C119" s="60"/>
      <c r="D119" s="60"/>
      <c r="E119" s="76"/>
      <c r="F119" s="76"/>
      <c r="G119" s="76"/>
      <c r="H119" s="60"/>
      <c r="I119" s="60"/>
      <c r="J119" s="60"/>
      <c r="K119" s="60"/>
      <c r="L119" s="60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 x14ac:dyDescent="0.25">
      <c r="A120" s="1"/>
      <c r="B120" s="60"/>
      <c r="C120" s="60"/>
      <c r="D120" s="60"/>
      <c r="E120" s="76"/>
      <c r="F120" s="76"/>
      <c r="G120" s="76"/>
      <c r="H120" s="60"/>
      <c r="I120" s="60"/>
      <c r="J120" s="60"/>
      <c r="K120" s="60"/>
      <c r="L120" s="6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 x14ac:dyDescent="0.25">
      <c r="A121" s="1"/>
      <c r="B121" s="60"/>
      <c r="C121" s="60"/>
      <c r="D121" s="60"/>
      <c r="E121" s="76"/>
      <c r="F121" s="76"/>
      <c r="G121" s="76"/>
      <c r="H121" s="60"/>
      <c r="I121" s="60"/>
      <c r="J121" s="60"/>
      <c r="K121" s="60"/>
      <c r="L121" s="60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60"/>
      <c r="C122" s="60"/>
      <c r="D122" s="60"/>
      <c r="E122" s="76"/>
      <c r="F122" s="76"/>
      <c r="G122" s="76"/>
      <c r="H122" s="60"/>
      <c r="I122" s="60"/>
      <c r="J122" s="60"/>
      <c r="K122" s="60"/>
      <c r="L122" s="6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60"/>
      <c r="C123" s="60"/>
      <c r="D123" s="60"/>
      <c r="E123" s="76"/>
      <c r="F123" s="76"/>
      <c r="G123" s="76"/>
      <c r="H123" s="60"/>
      <c r="I123" s="60"/>
      <c r="J123" s="60"/>
      <c r="K123" s="60"/>
      <c r="L123" s="6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60"/>
      <c r="C124" s="60"/>
      <c r="D124" s="60"/>
      <c r="E124" s="76"/>
      <c r="F124" s="76"/>
      <c r="G124" s="76"/>
      <c r="H124" s="60"/>
      <c r="I124" s="60"/>
      <c r="J124" s="60"/>
      <c r="K124" s="60"/>
      <c r="L124" s="6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60"/>
      <c r="C125" s="60"/>
      <c r="D125" s="60"/>
      <c r="E125" s="76"/>
      <c r="F125" s="76"/>
      <c r="G125" s="76"/>
      <c r="H125" s="60"/>
      <c r="I125" s="60"/>
      <c r="J125" s="60"/>
      <c r="K125" s="60"/>
      <c r="L125" s="6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60"/>
      <c r="C126" s="60"/>
      <c r="D126" s="60"/>
      <c r="E126" s="76"/>
      <c r="F126" s="76"/>
      <c r="G126" s="76"/>
      <c r="H126" s="60"/>
      <c r="I126" s="60"/>
      <c r="J126" s="60"/>
      <c r="K126" s="60"/>
      <c r="L126" s="6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60"/>
      <c r="C127" s="60"/>
      <c r="D127" s="60"/>
      <c r="E127" s="76"/>
      <c r="F127" s="76"/>
      <c r="G127" s="76"/>
      <c r="H127" s="60"/>
      <c r="I127" s="60"/>
      <c r="J127" s="60"/>
      <c r="K127" s="60"/>
      <c r="L127" s="60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60"/>
      <c r="C128" s="60"/>
      <c r="D128" s="60"/>
      <c r="E128" s="76"/>
      <c r="F128" s="76"/>
      <c r="G128" s="76"/>
      <c r="H128" s="60"/>
      <c r="I128" s="60"/>
      <c r="J128" s="60"/>
      <c r="K128" s="60"/>
      <c r="L128" s="6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60"/>
      <c r="C129" s="60"/>
      <c r="D129" s="60"/>
      <c r="E129" s="76"/>
      <c r="F129" s="76"/>
      <c r="G129" s="76"/>
      <c r="H129" s="60"/>
      <c r="I129" s="60"/>
      <c r="J129" s="60"/>
      <c r="K129" s="60"/>
      <c r="L129" s="6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60"/>
      <c r="C130" s="60"/>
      <c r="D130" s="60"/>
      <c r="E130" s="76"/>
      <c r="F130" s="76"/>
      <c r="G130" s="76"/>
      <c r="H130" s="60"/>
      <c r="I130" s="60"/>
      <c r="J130" s="60"/>
      <c r="K130" s="60"/>
      <c r="L130" s="6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60"/>
      <c r="C131" s="60"/>
      <c r="D131" s="60"/>
      <c r="E131" s="76"/>
      <c r="F131" s="76"/>
      <c r="G131" s="76"/>
      <c r="H131" s="60"/>
      <c r="I131" s="60"/>
      <c r="J131" s="60"/>
      <c r="K131" s="60"/>
      <c r="L131" s="6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60"/>
      <c r="C132" s="60"/>
      <c r="D132" s="60"/>
      <c r="E132" s="76"/>
      <c r="F132" s="76"/>
      <c r="G132" s="76"/>
      <c r="H132" s="60"/>
      <c r="I132" s="60"/>
      <c r="J132" s="60"/>
      <c r="K132" s="60"/>
      <c r="L132" s="6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</sheetData>
  <mergeCells count="42">
    <mergeCell ref="B98:L98"/>
    <mergeCell ref="B74:L74"/>
    <mergeCell ref="B81:L81"/>
    <mergeCell ref="A86:L86"/>
    <mergeCell ref="B88:B90"/>
    <mergeCell ref="C88:C90"/>
    <mergeCell ref="D88:D90"/>
    <mergeCell ref="E88:E90"/>
    <mergeCell ref="F88:F90"/>
    <mergeCell ref="G88:G90"/>
    <mergeCell ref="H88:H90"/>
    <mergeCell ref="I88:I90"/>
    <mergeCell ref="J88:J90"/>
    <mergeCell ref="K88:K90"/>
    <mergeCell ref="L88:L90"/>
    <mergeCell ref="B91:L91"/>
    <mergeCell ref="B52:L52"/>
    <mergeCell ref="K3:K5"/>
    <mergeCell ref="L3:L5"/>
    <mergeCell ref="B6:L6"/>
    <mergeCell ref="A47:L47"/>
    <mergeCell ref="B49:B51"/>
    <mergeCell ref="C49:C51"/>
    <mergeCell ref="D49:D51"/>
    <mergeCell ref="E49:E51"/>
    <mergeCell ref="F49:F51"/>
    <mergeCell ref="G49:G51"/>
    <mergeCell ref="H49:H51"/>
    <mergeCell ref="I49:I51"/>
    <mergeCell ref="J49:J51"/>
    <mergeCell ref="K49:K51"/>
    <mergeCell ref="L49:L51"/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ageMargins left="0.511811024" right="0.511811024" top="0.78740157499999996" bottom="0.78740157499999996" header="0.31496062000000002" footer="0.31496062000000002"/>
  <pageSetup paperSize="9" scale="74" fitToHeight="0" orientation="landscape" r:id="rId1"/>
  <rowBreaks count="2" manualBreakCount="2">
    <brk id="45" max="12" man="1"/>
    <brk id="8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F138"/>
  <sheetViews>
    <sheetView view="pageBreakPreview" zoomScaleNormal="100" zoomScaleSheetLayoutView="100" workbookViewId="0"/>
  </sheetViews>
  <sheetFormatPr defaultRowHeight="14.25" x14ac:dyDescent="0.2"/>
  <cols>
    <col min="1" max="1" width="27.375" customWidth="1"/>
    <col min="2" max="2" width="10" customWidth="1"/>
    <col min="3" max="3" width="11.75" customWidth="1"/>
    <col min="4" max="4" width="12.375" customWidth="1"/>
    <col min="5" max="5" width="14.125" customWidth="1"/>
    <col min="6" max="6" width="12" customWidth="1"/>
    <col min="7" max="7" width="12.75" customWidth="1"/>
    <col min="8" max="8" width="12.375" customWidth="1"/>
    <col min="9" max="9" width="10.75" customWidth="1"/>
    <col min="10" max="10" width="10.125" customWidth="1"/>
    <col min="11" max="11" width="12" customWidth="1"/>
    <col min="12" max="12" width="13.125" customWidth="1"/>
  </cols>
  <sheetData>
    <row r="1" spans="1:32" ht="14.25" customHeight="1" x14ac:dyDescent="0.25">
      <c r="A1" s="258" t="s">
        <v>159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5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customHeight="1" x14ac:dyDescent="0.25">
      <c r="A2" s="121" t="s">
        <v>66</v>
      </c>
      <c r="B2" s="122">
        <v>2022</v>
      </c>
      <c r="C2" s="123"/>
      <c r="D2" s="123"/>
      <c r="E2" s="124"/>
      <c r="F2" s="124"/>
      <c r="G2" s="124"/>
      <c r="H2" s="123"/>
      <c r="I2" s="123"/>
      <c r="J2" s="123"/>
      <c r="K2" s="123"/>
      <c r="L2" s="123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125" t="s">
        <v>2</v>
      </c>
      <c r="B3" s="259" t="s">
        <v>3</v>
      </c>
      <c r="C3" s="259" t="s">
        <v>92</v>
      </c>
      <c r="D3" s="260" t="s">
        <v>93</v>
      </c>
      <c r="E3" s="261" t="s">
        <v>8</v>
      </c>
      <c r="F3" s="263" t="s">
        <v>94</v>
      </c>
      <c r="G3" s="263" t="s">
        <v>9</v>
      </c>
      <c r="H3" s="259" t="s">
        <v>11</v>
      </c>
      <c r="I3" s="259" t="s">
        <v>95</v>
      </c>
      <c r="J3" s="260" t="s">
        <v>12</v>
      </c>
      <c r="K3" s="260" t="s">
        <v>13</v>
      </c>
      <c r="L3" s="265" t="s">
        <v>14</v>
      </c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x14ac:dyDescent="0.25">
      <c r="A4" s="126" t="s">
        <v>15</v>
      </c>
      <c r="B4" s="249"/>
      <c r="C4" s="249"/>
      <c r="D4" s="249"/>
      <c r="E4" s="261"/>
      <c r="F4" s="249"/>
      <c r="G4" s="249"/>
      <c r="H4" s="249"/>
      <c r="I4" s="249"/>
      <c r="J4" s="249"/>
      <c r="K4" s="249"/>
      <c r="L4" s="260"/>
      <c r="M4" s="5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 x14ac:dyDescent="0.25">
      <c r="A5" s="127" t="s">
        <v>16</v>
      </c>
      <c r="B5" s="250"/>
      <c r="C5" s="250"/>
      <c r="D5" s="250"/>
      <c r="E5" s="262"/>
      <c r="F5" s="250"/>
      <c r="G5" s="250"/>
      <c r="H5" s="250"/>
      <c r="I5" s="250"/>
      <c r="J5" s="250"/>
      <c r="K5" s="250"/>
      <c r="L5" s="266"/>
      <c r="M5" s="5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 x14ac:dyDescent="0.25">
      <c r="A6" s="128" t="s">
        <v>96</v>
      </c>
      <c r="B6" s="264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5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 x14ac:dyDescent="0.25">
      <c r="A7" s="116" t="s">
        <v>99</v>
      </c>
      <c r="B7" s="129"/>
      <c r="C7" s="129"/>
      <c r="D7" s="129"/>
      <c r="E7" s="130"/>
      <c r="F7" s="130"/>
      <c r="G7" s="130"/>
      <c r="H7" s="129"/>
      <c r="I7" s="129"/>
      <c r="J7" s="129"/>
      <c r="K7" s="129"/>
      <c r="L7" s="129"/>
      <c r="M7" s="5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 x14ac:dyDescent="0.25">
      <c r="A8" s="119" t="s">
        <v>151</v>
      </c>
      <c r="B8" s="129"/>
      <c r="C8" s="129"/>
      <c r="D8" s="129"/>
      <c r="E8" s="130"/>
      <c r="F8" s="130"/>
      <c r="G8" s="130"/>
      <c r="H8" s="129"/>
      <c r="I8" s="129"/>
      <c r="J8" s="129"/>
      <c r="K8" s="129"/>
      <c r="L8" s="129"/>
      <c r="M8" s="5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 x14ac:dyDescent="0.25">
      <c r="A9" s="114">
        <v>43171</v>
      </c>
      <c r="B9" s="131">
        <v>2058.0500000000002</v>
      </c>
      <c r="C9" s="131"/>
      <c r="D9" s="131"/>
      <c r="E9" s="132"/>
      <c r="F9" s="133"/>
      <c r="G9" s="134">
        <f>SUM(B9:F9)</f>
        <v>2058.0500000000002</v>
      </c>
      <c r="H9" s="118">
        <v>167.04</v>
      </c>
      <c r="I9" s="118"/>
      <c r="J9" s="118">
        <f>62.15+2.73+66.85</f>
        <v>131.72999999999999</v>
      </c>
      <c r="K9" s="118">
        <f>SUM(H9:J9)</f>
        <v>298.77</v>
      </c>
      <c r="L9" s="118">
        <f>G9-K9</f>
        <v>1759.2800000000002</v>
      </c>
      <c r="M9" s="5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.75" customHeight="1" x14ac:dyDescent="0.25">
      <c r="A10" s="116" t="s">
        <v>101</v>
      </c>
      <c r="B10" s="135"/>
      <c r="C10" s="135"/>
      <c r="D10" s="135"/>
      <c r="E10" s="136"/>
      <c r="F10" s="136"/>
      <c r="G10" s="130"/>
      <c r="H10" s="129"/>
      <c r="I10" s="129"/>
      <c r="J10" s="129"/>
      <c r="K10" s="129"/>
      <c r="L10" s="129"/>
      <c r="M10" s="5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.75" customHeight="1" x14ac:dyDescent="0.25">
      <c r="A11" s="120" t="s">
        <v>144</v>
      </c>
      <c r="B11" s="135"/>
      <c r="C11" s="135"/>
      <c r="D11" s="135"/>
      <c r="E11" s="136"/>
      <c r="F11" s="136"/>
      <c r="G11" s="130"/>
      <c r="H11" s="129"/>
      <c r="I11" s="129"/>
      <c r="J11" s="129"/>
      <c r="K11" s="129"/>
      <c r="L11" s="129"/>
      <c r="M11" s="52"/>
      <c r="N11" s="1"/>
      <c r="O11" s="1"/>
      <c r="P11" s="34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.75" customHeight="1" x14ac:dyDescent="0.25">
      <c r="A12" s="114">
        <v>42037</v>
      </c>
      <c r="B12" s="131">
        <v>4097.53</v>
      </c>
      <c r="C12" s="131"/>
      <c r="D12" s="131">
        <v>81.95</v>
      </c>
      <c r="E12" s="132"/>
      <c r="F12" s="133"/>
      <c r="G12" s="134">
        <f>SUM(B12:F12)</f>
        <v>4179.4799999999996</v>
      </c>
      <c r="H12" s="118">
        <v>421.3</v>
      </c>
      <c r="I12" s="118">
        <v>209.46</v>
      </c>
      <c r="J12" s="118">
        <f>62.15+2.47+126.81</f>
        <v>191.43</v>
      </c>
      <c r="K12" s="118">
        <f>H12+I12+J12</f>
        <v>822.19</v>
      </c>
      <c r="L12" s="118">
        <f>G12-K12</f>
        <v>3357.2899999999995</v>
      </c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4.25" customHeight="1" x14ac:dyDescent="0.25">
      <c r="A13" s="116" t="s">
        <v>103</v>
      </c>
      <c r="B13" s="135"/>
      <c r="C13" s="135"/>
      <c r="D13" s="135"/>
      <c r="E13" s="136"/>
      <c r="F13" s="136"/>
      <c r="G13" s="130"/>
      <c r="H13" s="129"/>
      <c r="I13" s="129"/>
      <c r="J13" s="129"/>
      <c r="K13" s="129"/>
      <c r="L13" s="129"/>
      <c r="M13" s="5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4.25" customHeight="1" x14ac:dyDescent="0.25">
      <c r="A14" s="120" t="s">
        <v>104</v>
      </c>
      <c r="B14" s="135"/>
      <c r="C14" s="135"/>
      <c r="D14" s="135"/>
      <c r="E14" s="136"/>
      <c r="F14" s="136"/>
      <c r="G14" s="130"/>
      <c r="H14" s="129"/>
      <c r="I14" s="129"/>
      <c r="J14" s="129"/>
      <c r="K14" s="129"/>
      <c r="L14" s="129"/>
      <c r="M14" s="5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4.25" customHeight="1" x14ac:dyDescent="0.25">
      <c r="A15" s="114">
        <v>41319</v>
      </c>
      <c r="B15" s="131">
        <v>6678.33</v>
      </c>
      <c r="C15" s="131"/>
      <c r="D15" s="131">
        <v>133.56</v>
      </c>
      <c r="E15" s="132">
        <v>3005.25</v>
      </c>
      <c r="F15" s="133"/>
      <c r="G15" s="134">
        <f>SUM(B15:F15)</f>
        <v>9817.14</v>
      </c>
      <c r="H15" s="118">
        <v>828.38</v>
      </c>
      <c r="I15" s="118">
        <v>1498.27</v>
      </c>
      <c r="J15" s="118">
        <f>62.15+1.82+450.78+88.71</f>
        <v>603.46</v>
      </c>
      <c r="K15" s="118">
        <f>H15+I15+J15</f>
        <v>2930.11</v>
      </c>
      <c r="L15" s="118">
        <f>G15-K15</f>
        <v>6887.0299999999988</v>
      </c>
      <c r="M15" s="5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 x14ac:dyDescent="0.25">
      <c r="A16" s="116" t="s">
        <v>105</v>
      </c>
      <c r="B16" s="137"/>
      <c r="C16" s="137"/>
      <c r="D16" s="137"/>
      <c r="E16" s="138"/>
      <c r="F16" s="139"/>
      <c r="G16" s="140"/>
      <c r="H16" s="141"/>
      <c r="I16" s="141"/>
      <c r="J16" s="141"/>
      <c r="K16" s="141"/>
      <c r="L16" s="141"/>
      <c r="M16" s="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 x14ac:dyDescent="0.25">
      <c r="A17" s="142" t="s">
        <v>106</v>
      </c>
      <c r="B17" s="137"/>
      <c r="C17" s="137"/>
      <c r="D17" s="137"/>
      <c r="E17" s="138"/>
      <c r="F17" s="139"/>
      <c r="G17" s="140"/>
      <c r="H17" s="141"/>
      <c r="I17" s="141"/>
      <c r="J17" s="141"/>
      <c r="K17" s="141"/>
      <c r="L17" s="141"/>
      <c r="M17" s="5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.75" customHeight="1" x14ac:dyDescent="0.25">
      <c r="A18" s="143">
        <v>44522</v>
      </c>
      <c r="B18" s="118">
        <v>3578.94</v>
      </c>
      <c r="C18" s="118"/>
      <c r="D18" s="118"/>
      <c r="E18" s="134"/>
      <c r="F18" s="87"/>
      <c r="G18" s="134">
        <f>SUM(B18:F18)</f>
        <v>3578.94</v>
      </c>
      <c r="H18" s="118">
        <v>338.47</v>
      </c>
      <c r="I18" s="118">
        <v>102.83</v>
      </c>
      <c r="J18" s="118">
        <f>62.15+2.73+280.68</f>
        <v>345.56</v>
      </c>
      <c r="K18" s="118">
        <f>H18+I18+J18</f>
        <v>786.86</v>
      </c>
      <c r="L18" s="118">
        <f>G18-K18</f>
        <v>2792.08</v>
      </c>
      <c r="M18" s="5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.75" customHeight="1" x14ac:dyDescent="0.25">
      <c r="A19" s="115" t="s">
        <v>107</v>
      </c>
      <c r="B19" s="129"/>
      <c r="C19" s="129"/>
      <c r="D19" s="129"/>
      <c r="E19" s="130"/>
      <c r="F19" s="130"/>
      <c r="G19" s="130"/>
      <c r="H19" s="129"/>
      <c r="I19" s="129"/>
      <c r="J19" s="129"/>
      <c r="K19" s="129"/>
      <c r="L19" s="129"/>
      <c r="M19" s="5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.75" customHeight="1" x14ac:dyDescent="0.25">
      <c r="A20" s="120" t="s">
        <v>108</v>
      </c>
      <c r="B20" s="129"/>
      <c r="C20" s="129"/>
      <c r="D20" s="129"/>
      <c r="E20" s="130"/>
      <c r="F20" s="130"/>
      <c r="G20" s="130"/>
      <c r="H20" s="129"/>
      <c r="I20" s="129"/>
      <c r="J20" s="129"/>
      <c r="K20" s="129"/>
      <c r="L20" s="129"/>
      <c r="M20" s="5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x14ac:dyDescent="0.25">
      <c r="A21" s="143">
        <v>44207</v>
      </c>
      <c r="B21" s="118">
        <v>1797.58</v>
      </c>
      <c r="C21" s="118"/>
      <c r="D21" s="118"/>
      <c r="E21" s="134"/>
      <c r="F21" s="87"/>
      <c r="G21" s="134">
        <f>SUM(B21:F21)</f>
        <v>1797.58</v>
      </c>
      <c r="H21" s="118">
        <v>143.6</v>
      </c>
      <c r="I21" s="144"/>
      <c r="J21" s="118">
        <f>62.15+2.73+190.58+29.57</f>
        <v>285.03000000000003</v>
      </c>
      <c r="K21" s="118">
        <f>SUM(H21:J21)</f>
        <v>428.63</v>
      </c>
      <c r="L21" s="118">
        <f>G21-K21</f>
        <v>1368.9499999999998</v>
      </c>
      <c r="M21" s="5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x14ac:dyDescent="0.25">
      <c r="A22" s="115" t="s">
        <v>145</v>
      </c>
      <c r="B22" s="129"/>
      <c r="C22" s="129"/>
      <c r="D22" s="129"/>
      <c r="E22" s="130"/>
      <c r="F22" s="130"/>
      <c r="G22" s="130"/>
      <c r="H22" s="129"/>
      <c r="I22" s="129"/>
      <c r="J22" s="129"/>
      <c r="K22" s="129"/>
      <c r="L22" s="129"/>
      <c r="M22" s="5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120" t="s">
        <v>146</v>
      </c>
      <c r="B23" s="129"/>
      <c r="C23" s="129"/>
      <c r="D23" s="129"/>
      <c r="E23" s="130"/>
      <c r="F23" s="130"/>
      <c r="G23" s="130"/>
      <c r="H23" s="129"/>
      <c r="I23" s="129"/>
      <c r="J23" s="129"/>
      <c r="K23" s="129"/>
      <c r="L23" s="129"/>
      <c r="M23" s="5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x14ac:dyDescent="0.25">
      <c r="A24" s="143">
        <v>44608</v>
      </c>
      <c r="B24" s="118">
        <v>4000</v>
      </c>
      <c r="C24" s="118"/>
      <c r="D24" s="118"/>
      <c r="E24" s="134"/>
      <c r="F24" s="87"/>
      <c r="G24" s="134">
        <f>SUM(B24:F24)</f>
        <v>4000</v>
      </c>
      <c r="H24" s="118">
        <v>396.17</v>
      </c>
      <c r="I24" s="144">
        <v>157.34</v>
      </c>
      <c r="J24" s="118">
        <f>62.15+2.73</f>
        <v>64.88</v>
      </c>
      <c r="K24" s="118">
        <f>SUM(H24:J24)</f>
        <v>618.39</v>
      </c>
      <c r="L24" s="118">
        <f>G24-K24</f>
        <v>3381.61</v>
      </c>
      <c r="M24" s="5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x14ac:dyDescent="0.25">
      <c r="A25" s="115" t="s">
        <v>109</v>
      </c>
      <c r="B25" s="129"/>
      <c r="C25" s="129"/>
      <c r="D25" s="129"/>
      <c r="E25" s="130"/>
      <c r="F25" s="130"/>
      <c r="G25" s="130"/>
      <c r="H25" s="129"/>
      <c r="I25" s="129"/>
      <c r="J25" s="129"/>
      <c r="K25" s="129"/>
      <c r="L25" s="129"/>
      <c r="M25" s="5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120" t="s">
        <v>110</v>
      </c>
      <c r="B26" s="129"/>
      <c r="C26" s="129"/>
      <c r="D26" s="129"/>
      <c r="E26" s="130"/>
      <c r="F26" s="130"/>
      <c r="G26" s="130"/>
      <c r="H26" s="129"/>
      <c r="I26" s="129"/>
      <c r="J26" s="129"/>
      <c r="K26" s="129"/>
      <c r="L26" s="129"/>
      <c r="M26" s="5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x14ac:dyDescent="0.25">
      <c r="A27" s="143">
        <v>43739</v>
      </c>
      <c r="B27" s="118">
        <v>3829.46</v>
      </c>
      <c r="C27" s="118"/>
      <c r="D27" s="118"/>
      <c r="E27" s="134">
        <v>268.06</v>
      </c>
      <c r="F27" s="87"/>
      <c r="G27" s="134">
        <f>SUM(B27:F27)</f>
        <v>4097.5200000000004</v>
      </c>
      <c r="H27" s="118">
        <v>409.82</v>
      </c>
      <c r="I27" s="144">
        <v>198.36</v>
      </c>
      <c r="J27" s="118">
        <f>62.15+2.6+323.54+59.14</f>
        <v>447.43</v>
      </c>
      <c r="K27" s="118">
        <f>SUM(H27:J27)</f>
        <v>1055.6100000000001</v>
      </c>
      <c r="L27" s="118">
        <f>G27-K27</f>
        <v>3041.9100000000003</v>
      </c>
      <c r="M27" s="5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4.25" customHeight="1" x14ac:dyDescent="0.25">
      <c r="A28" s="116" t="s">
        <v>111</v>
      </c>
      <c r="B28" s="129"/>
      <c r="C28" s="129"/>
      <c r="D28" s="129"/>
      <c r="E28" s="130"/>
      <c r="F28" s="130"/>
      <c r="G28" s="130"/>
      <c r="H28" s="129"/>
      <c r="I28" s="129"/>
      <c r="J28" s="129"/>
      <c r="K28" s="129"/>
      <c r="L28" s="129"/>
      <c r="M28" s="5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4.25" customHeight="1" x14ac:dyDescent="0.25">
      <c r="A29" s="119" t="s">
        <v>100</v>
      </c>
      <c r="B29" s="129"/>
      <c r="C29" s="129"/>
      <c r="D29" s="129"/>
      <c r="E29" s="130"/>
      <c r="F29" s="130"/>
      <c r="G29" s="130"/>
      <c r="H29" s="129"/>
      <c r="I29" s="129"/>
      <c r="J29" s="129"/>
      <c r="K29" s="129"/>
      <c r="L29" s="129"/>
      <c r="M29" s="5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4.25" customHeight="1" x14ac:dyDescent="0.25">
      <c r="A30" s="114">
        <v>43648</v>
      </c>
      <c r="B30" s="131">
        <v>1282.27</v>
      </c>
      <c r="C30" s="131">
        <f>641.14+213.71</f>
        <v>854.85</v>
      </c>
      <c r="D30" s="131"/>
      <c r="E30" s="132"/>
      <c r="F30" s="133"/>
      <c r="G30" s="134">
        <f>SUM(B30:F30)</f>
        <v>2137.12</v>
      </c>
      <c r="H30" s="118">
        <f>110.05+64.11</f>
        <v>174.16</v>
      </c>
      <c r="I30" s="118"/>
      <c r="J30" s="118">
        <f>62.15+2.73</f>
        <v>64.88</v>
      </c>
      <c r="K30" s="118">
        <f>SUM(H30:J30)</f>
        <v>239.04</v>
      </c>
      <c r="L30" s="118">
        <f>G30-K30</f>
        <v>1898.08</v>
      </c>
      <c r="M30" s="5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 x14ac:dyDescent="0.25">
      <c r="A31" s="116" t="s">
        <v>112</v>
      </c>
      <c r="B31" s="129"/>
      <c r="C31" s="129"/>
      <c r="D31" s="129"/>
      <c r="E31" s="130"/>
      <c r="F31" s="130"/>
      <c r="G31" s="130"/>
      <c r="H31" s="129"/>
      <c r="I31" s="129"/>
      <c r="J31" s="129"/>
      <c r="K31" s="129"/>
      <c r="L31" s="129"/>
      <c r="M31" s="5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 x14ac:dyDescent="0.25">
      <c r="A32" s="119" t="s">
        <v>113</v>
      </c>
      <c r="B32" s="129"/>
      <c r="C32" s="129"/>
      <c r="D32" s="129"/>
      <c r="E32" s="130"/>
      <c r="F32" s="130"/>
      <c r="G32" s="130"/>
      <c r="H32" s="129"/>
      <c r="I32" s="129"/>
      <c r="J32" s="129"/>
      <c r="K32" s="129"/>
      <c r="L32" s="129"/>
      <c r="M32" s="5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 x14ac:dyDescent="0.25">
      <c r="A33" s="114">
        <v>44580</v>
      </c>
      <c r="B33" s="131">
        <f>2147.36+1431.58</f>
        <v>3578.94</v>
      </c>
      <c r="C33" s="131"/>
      <c r="D33" s="131"/>
      <c r="E33" s="132"/>
      <c r="F33" s="133"/>
      <c r="G33" s="134">
        <f>SUM(B33:F33)</f>
        <v>3578.94</v>
      </c>
      <c r="H33" s="118">
        <v>321.5</v>
      </c>
      <c r="I33" s="118">
        <v>112.61</v>
      </c>
      <c r="J33" s="118">
        <f>35.79+141.37+62.15+13.78+154.07+88.71</f>
        <v>495.86999999999995</v>
      </c>
      <c r="K33" s="118">
        <f>SUM(H33:J33)</f>
        <v>929.98</v>
      </c>
      <c r="L33" s="118">
        <f>G33-K33</f>
        <v>2648.96</v>
      </c>
      <c r="M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 x14ac:dyDescent="0.25">
      <c r="A34" s="115" t="s">
        <v>114</v>
      </c>
      <c r="B34" s="145"/>
      <c r="C34" s="145"/>
      <c r="D34" s="145"/>
      <c r="E34" s="146"/>
      <c r="F34" s="146"/>
      <c r="G34" s="146"/>
      <c r="H34" s="145"/>
      <c r="I34" s="145"/>
      <c r="J34" s="145"/>
      <c r="K34" s="145"/>
      <c r="L34" s="145"/>
      <c r="M34" s="5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 x14ac:dyDescent="0.25">
      <c r="A35" s="120" t="s">
        <v>100</v>
      </c>
      <c r="B35" s="135"/>
      <c r="C35" s="135"/>
      <c r="D35" s="135"/>
      <c r="E35" s="136"/>
      <c r="F35" s="136"/>
      <c r="G35" s="130"/>
      <c r="H35" s="129"/>
      <c r="I35" s="129"/>
      <c r="J35" s="129"/>
      <c r="K35" s="129"/>
      <c r="L35" s="129"/>
      <c r="M35" s="5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 x14ac:dyDescent="0.25">
      <c r="A36" s="114">
        <v>43325</v>
      </c>
      <c r="B36" s="131">
        <v>2058.0500000000002</v>
      </c>
      <c r="C36" s="131"/>
      <c r="D36" s="131"/>
      <c r="E36" s="132"/>
      <c r="F36" s="133"/>
      <c r="G36" s="134">
        <f>SUM(B36:F36)</f>
        <v>2058.0500000000002</v>
      </c>
      <c r="H36" s="144">
        <v>167.04</v>
      </c>
      <c r="I36" s="118"/>
      <c r="J36" s="144">
        <f>62.15+2.73+120.51+29.57</f>
        <v>214.95999999999998</v>
      </c>
      <c r="K36" s="118">
        <f>SUM(H36:J36)</f>
        <v>382</v>
      </c>
      <c r="L36" s="118">
        <f>G36-K36</f>
        <v>1676.0500000000002</v>
      </c>
      <c r="M36" s="5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 x14ac:dyDescent="0.25">
      <c r="A37" s="116" t="s">
        <v>115</v>
      </c>
      <c r="B37" s="135"/>
      <c r="C37" s="135"/>
      <c r="D37" s="135"/>
      <c r="E37" s="136"/>
      <c r="F37" s="136"/>
      <c r="G37" s="130"/>
      <c r="H37" s="129"/>
      <c r="I37" s="129"/>
      <c r="J37" s="129"/>
      <c r="K37" s="129"/>
      <c r="L37" s="129"/>
      <c r="M37" s="5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 x14ac:dyDescent="0.25">
      <c r="A38" s="119" t="s">
        <v>161</v>
      </c>
      <c r="B38" s="135"/>
      <c r="C38" s="135"/>
      <c r="D38" s="135"/>
      <c r="E38" s="136"/>
      <c r="F38" s="136"/>
      <c r="G38" s="130"/>
      <c r="H38" s="129"/>
      <c r="I38" s="129"/>
      <c r="J38" s="129"/>
      <c r="K38" s="129"/>
      <c r="L38" s="129"/>
      <c r="M38" s="5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 x14ac:dyDescent="0.25">
      <c r="A39" s="114">
        <v>43325</v>
      </c>
      <c r="B39" s="131">
        <v>1715.04</v>
      </c>
      <c r="C39" s="131">
        <f>412.67+137.56</f>
        <v>550.23</v>
      </c>
      <c r="D39" s="131"/>
      <c r="E39" s="132"/>
      <c r="F39" s="133"/>
      <c r="G39" s="134">
        <f>SUM(B39:F39)</f>
        <v>2265.27</v>
      </c>
      <c r="H39" s="118">
        <f>144.43+41.26</f>
        <v>185.69</v>
      </c>
      <c r="I39" s="118"/>
      <c r="J39" s="118">
        <f>20.58+62.15+2.73+97.15</f>
        <v>182.61</v>
      </c>
      <c r="K39" s="118">
        <f>H39+I39+J39</f>
        <v>368.3</v>
      </c>
      <c r="L39" s="118">
        <f>G39-K39</f>
        <v>1896.97</v>
      </c>
      <c r="M39" s="5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 x14ac:dyDescent="0.25">
      <c r="A40" s="116" t="s">
        <v>117</v>
      </c>
      <c r="B40" s="129"/>
      <c r="C40" s="129"/>
      <c r="D40" s="129"/>
      <c r="E40" s="130"/>
      <c r="F40" s="130"/>
      <c r="G40" s="130"/>
      <c r="H40" s="129"/>
      <c r="I40" s="129"/>
      <c r="J40" s="129"/>
      <c r="K40" s="129"/>
      <c r="L40" s="129"/>
      <c r="M40" s="5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 x14ac:dyDescent="0.25">
      <c r="A41" s="120" t="s">
        <v>100</v>
      </c>
      <c r="B41" s="129"/>
      <c r="C41" s="129"/>
      <c r="D41" s="129"/>
      <c r="E41" s="130"/>
      <c r="F41" s="130"/>
      <c r="G41" s="130"/>
      <c r="H41" s="129"/>
      <c r="I41" s="129"/>
      <c r="J41" s="129"/>
      <c r="K41" s="129"/>
      <c r="L41" s="129"/>
      <c r="M41" s="5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 x14ac:dyDescent="0.25">
      <c r="A42" s="117">
        <v>43479</v>
      </c>
      <c r="B42" s="118">
        <v>1923.41</v>
      </c>
      <c r="C42" s="118"/>
      <c r="D42" s="118"/>
      <c r="E42" s="134"/>
      <c r="F42" s="87"/>
      <c r="G42" s="134">
        <f>SUM(B42:F42)</f>
        <v>1923.41</v>
      </c>
      <c r="H42" s="118">
        <v>154.91999999999999</v>
      </c>
      <c r="I42" s="118"/>
      <c r="J42" s="118">
        <f>19.23+62.15+2.73+117.33</f>
        <v>201.44</v>
      </c>
      <c r="K42" s="118">
        <f>H42+I42+J42</f>
        <v>356.36</v>
      </c>
      <c r="L42" s="118">
        <f>G42-K42</f>
        <v>1567.0500000000002</v>
      </c>
      <c r="M42" s="5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 x14ac:dyDescent="0.25">
      <c r="A43" s="116" t="s">
        <v>118</v>
      </c>
      <c r="B43" s="141"/>
      <c r="C43" s="141"/>
      <c r="D43" s="141"/>
      <c r="E43" s="140"/>
      <c r="F43" s="147"/>
      <c r="G43" s="140"/>
      <c r="H43" s="141"/>
      <c r="I43" s="141"/>
      <c r="J43" s="141"/>
      <c r="K43" s="141"/>
      <c r="L43" s="141"/>
      <c r="M43" s="5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 x14ac:dyDescent="0.25">
      <c r="A44" s="120" t="s">
        <v>119</v>
      </c>
      <c r="B44" s="129"/>
      <c r="C44" s="129"/>
      <c r="D44" s="129"/>
      <c r="E44" s="130"/>
      <c r="F44" s="130"/>
      <c r="G44" s="130"/>
      <c r="H44" s="129"/>
      <c r="I44" s="129"/>
      <c r="J44" s="129"/>
      <c r="K44" s="129"/>
      <c r="L44" s="129"/>
      <c r="M44" s="5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 customHeight="1" x14ac:dyDescent="0.25">
      <c r="A45" s="117">
        <v>44341</v>
      </c>
      <c r="B45" s="118">
        <v>1797.58</v>
      </c>
      <c r="C45" s="118"/>
      <c r="D45" s="118"/>
      <c r="E45" s="134"/>
      <c r="F45" s="87"/>
      <c r="G45" s="134">
        <f>SUM(B45:F45)</f>
        <v>1797.58</v>
      </c>
      <c r="H45" s="118">
        <v>143.6</v>
      </c>
      <c r="I45" s="118"/>
      <c r="J45" s="118">
        <f>62.15+2.6+147.85</f>
        <v>212.6</v>
      </c>
      <c r="K45" s="118">
        <f>H45+I45+J45</f>
        <v>356.2</v>
      </c>
      <c r="L45" s="118">
        <f>G45-K45</f>
        <v>1441.3799999999999</v>
      </c>
      <c r="M45" s="5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s="173" customFormat="1" ht="15.75" customHeight="1" x14ac:dyDescent="0.25">
      <c r="A46" s="174" t="s">
        <v>128</v>
      </c>
      <c r="B46" s="167"/>
      <c r="C46" s="167"/>
      <c r="D46" s="167"/>
      <c r="E46" s="168"/>
      <c r="F46" s="168"/>
      <c r="G46" s="169"/>
      <c r="H46" s="170"/>
      <c r="I46" s="170"/>
      <c r="J46" s="170"/>
      <c r="K46" s="170"/>
      <c r="L46" s="170"/>
      <c r="M46" s="171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</row>
    <row r="47" spans="1:32" ht="15.75" customHeight="1" x14ac:dyDescent="0.25">
      <c r="A47" s="119" t="s">
        <v>161</v>
      </c>
      <c r="B47" s="135"/>
      <c r="C47" s="135"/>
      <c r="D47" s="135"/>
      <c r="E47" s="136"/>
      <c r="F47" s="136"/>
      <c r="G47" s="130"/>
      <c r="H47" s="129"/>
      <c r="I47" s="129"/>
      <c r="J47" s="129"/>
      <c r="K47" s="129"/>
      <c r="L47" s="129"/>
      <c r="M47" s="5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customHeight="1" x14ac:dyDescent="0.25">
      <c r="A48" s="114">
        <v>43325</v>
      </c>
      <c r="B48" s="131">
        <v>2058.0500000000002</v>
      </c>
      <c r="C48" s="131"/>
      <c r="D48" s="131"/>
      <c r="E48" s="132">
        <v>926.12</v>
      </c>
      <c r="F48" s="133"/>
      <c r="G48" s="134">
        <f>SUM(B48:F48)</f>
        <v>2984.17</v>
      </c>
      <c r="H48" s="118">
        <v>267.08999999999997</v>
      </c>
      <c r="I48" s="118">
        <v>60.98</v>
      </c>
      <c r="J48" s="118">
        <f>20.58+62.15+2.21+131.77</f>
        <v>216.70999999999998</v>
      </c>
      <c r="K48" s="118">
        <f>H48+I48+J48</f>
        <v>544.78</v>
      </c>
      <c r="L48" s="118">
        <f>G48-K48</f>
        <v>2439.3900000000003</v>
      </c>
      <c r="M48" s="5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4.25" customHeight="1" x14ac:dyDescent="0.25">
      <c r="A49" s="148"/>
      <c r="B49" s="141"/>
      <c r="C49" s="141"/>
      <c r="D49" s="141"/>
      <c r="E49" s="140"/>
      <c r="F49" s="147"/>
      <c r="G49" s="140"/>
      <c r="H49" s="141"/>
      <c r="I49" s="141"/>
      <c r="J49" s="141"/>
      <c r="K49" s="141"/>
      <c r="L49" s="141"/>
      <c r="M49" s="5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x14ac:dyDescent="0.25">
      <c r="A50" s="258" t="s">
        <v>159</v>
      </c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5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x14ac:dyDescent="0.25">
      <c r="A51" s="121" t="s">
        <v>66</v>
      </c>
      <c r="B51" s="122">
        <v>2022</v>
      </c>
      <c r="C51" s="149"/>
      <c r="D51" s="149"/>
      <c r="E51" s="150"/>
      <c r="F51" s="150"/>
      <c r="G51" s="150"/>
      <c r="H51" s="149"/>
      <c r="I51" s="149"/>
      <c r="J51" s="149"/>
      <c r="K51" s="149"/>
      <c r="L51" s="149"/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x14ac:dyDescent="0.25">
      <c r="A52" s="125" t="s">
        <v>2</v>
      </c>
      <c r="B52" s="259" t="s">
        <v>3</v>
      </c>
      <c r="C52" s="259" t="s">
        <v>92</v>
      </c>
      <c r="D52" s="260" t="s">
        <v>93</v>
      </c>
      <c r="E52" s="261" t="s">
        <v>8</v>
      </c>
      <c r="F52" s="263" t="s">
        <v>94</v>
      </c>
      <c r="G52" s="263" t="s">
        <v>9</v>
      </c>
      <c r="H52" s="259" t="s">
        <v>11</v>
      </c>
      <c r="I52" s="259" t="s">
        <v>95</v>
      </c>
      <c r="J52" s="260" t="s">
        <v>12</v>
      </c>
      <c r="K52" s="260" t="s">
        <v>13</v>
      </c>
      <c r="L52" s="260" t="s">
        <v>14</v>
      </c>
      <c r="M52" s="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x14ac:dyDescent="0.25">
      <c r="A53" s="126" t="s">
        <v>15</v>
      </c>
      <c r="B53" s="249"/>
      <c r="C53" s="249"/>
      <c r="D53" s="249"/>
      <c r="E53" s="261"/>
      <c r="F53" s="249"/>
      <c r="G53" s="249"/>
      <c r="H53" s="249"/>
      <c r="I53" s="249"/>
      <c r="J53" s="249"/>
      <c r="K53" s="249"/>
      <c r="L53" s="249"/>
      <c r="M53" s="5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127" t="s">
        <v>16</v>
      </c>
      <c r="B54" s="250"/>
      <c r="C54" s="250"/>
      <c r="D54" s="250"/>
      <c r="E54" s="262"/>
      <c r="F54" s="250"/>
      <c r="G54" s="250"/>
      <c r="H54" s="250"/>
      <c r="I54" s="250"/>
      <c r="J54" s="250"/>
      <c r="K54" s="250"/>
      <c r="L54" s="250"/>
      <c r="M54" s="5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x14ac:dyDescent="0.25">
      <c r="A55" s="151" t="s">
        <v>120</v>
      </c>
      <c r="B55" s="264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5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.75" customHeight="1" x14ac:dyDescent="0.25">
      <c r="A56" s="116" t="s">
        <v>121</v>
      </c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5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 customHeight="1" x14ac:dyDescent="0.25">
      <c r="A57" s="142" t="s">
        <v>122</v>
      </c>
      <c r="B57" s="137"/>
      <c r="C57" s="137"/>
      <c r="D57" s="137"/>
      <c r="E57" s="138"/>
      <c r="F57" s="138"/>
      <c r="G57" s="140"/>
      <c r="H57" s="141"/>
      <c r="I57" s="141"/>
      <c r="J57" s="141"/>
      <c r="K57" s="141"/>
      <c r="L57" s="141"/>
      <c r="M57" s="5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 customHeight="1" x14ac:dyDescent="0.25">
      <c r="A58" s="153">
        <v>38054</v>
      </c>
      <c r="B58" s="131">
        <v>2886.52</v>
      </c>
      <c r="C58" s="131"/>
      <c r="D58" s="131">
        <v>57.73</v>
      </c>
      <c r="E58" s="132">
        <v>1298.94</v>
      </c>
      <c r="F58" s="132"/>
      <c r="G58" s="134">
        <f>SUM(B58:F58)</f>
        <v>4243.1900000000005</v>
      </c>
      <c r="H58" s="118">
        <v>430.22</v>
      </c>
      <c r="I58" s="118">
        <v>221.79</v>
      </c>
      <c r="J58" s="118">
        <f>62.15+2.73+126.81</f>
        <v>191.69</v>
      </c>
      <c r="K58" s="118">
        <f>H58+I58+J58</f>
        <v>843.7</v>
      </c>
      <c r="L58" s="118">
        <f>G58-K58</f>
        <v>3399.4900000000007</v>
      </c>
      <c r="M58" s="5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.75" customHeight="1" x14ac:dyDescent="0.25">
      <c r="A59" s="116" t="s">
        <v>123</v>
      </c>
      <c r="B59" s="137"/>
      <c r="C59" s="137"/>
      <c r="D59" s="137"/>
      <c r="E59" s="138"/>
      <c r="F59" s="138"/>
      <c r="G59" s="140"/>
      <c r="H59" s="141"/>
      <c r="I59" s="141"/>
      <c r="J59" s="141"/>
      <c r="K59" s="141"/>
      <c r="L59" s="141"/>
      <c r="M59" s="5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customHeight="1" x14ac:dyDescent="0.25">
      <c r="A60" s="142" t="s">
        <v>108</v>
      </c>
      <c r="B60" s="137"/>
      <c r="C60" s="137"/>
      <c r="D60" s="137"/>
      <c r="E60" s="138"/>
      <c r="F60" s="138"/>
      <c r="G60" s="140"/>
      <c r="H60" s="141"/>
      <c r="I60" s="141"/>
      <c r="J60" s="141"/>
      <c r="K60" s="141"/>
      <c r="L60" s="141"/>
      <c r="M60" s="5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 customHeight="1" x14ac:dyDescent="0.25">
      <c r="A61" s="153">
        <v>44319</v>
      </c>
      <c r="B61" s="131">
        <v>1797.58</v>
      </c>
      <c r="C61" s="131"/>
      <c r="D61" s="131"/>
      <c r="E61" s="132"/>
      <c r="F61" s="132"/>
      <c r="G61" s="134">
        <f>SUM(B61:F61)</f>
        <v>1797.58</v>
      </c>
      <c r="H61" s="118">
        <v>143.6</v>
      </c>
      <c r="I61" s="118"/>
      <c r="J61" s="118">
        <f>62.15+2.73+126.81</f>
        <v>191.69</v>
      </c>
      <c r="K61" s="118">
        <f>H61+I61+J61</f>
        <v>335.28999999999996</v>
      </c>
      <c r="L61" s="118">
        <f>G61-K61</f>
        <v>1462.29</v>
      </c>
      <c r="M61" s="5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 customHeight="1" x14ac:dyDescent="0.25">
      <c r="A62" s="116" t="s">
        <v>124</v>
      </c>
      <c r="B62" s="137"/>
      <c r="C62" s="137"/>
      <c r="D62" s="137"/>
      <c r="E62" s="138"/>
      <c r="F62" s="138"/>
      <c r="G62" s="140"/>
      <c r="H62" s="141"/>
      <c r="I62" s="141"/>
      <c r="J62" s="141"/>
      <c r="K62" s="141"/>
      <c r="L62" s="141"/>
      <c r="M62" s="5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A63" s="142" t="s">
        <v>116</v>
      </c>
      <c r="B63" s="137"/>
      <c r="C63" s="137"/>
      <c r="D63" s="137"/>
      <c r="E63" s="138"/>
      <c r="F63" s="138"/>
      <c r="G63" s="140"/>
      <c r="H63" s="141"/>
      <c r="I63" s="141"/>
      <c r="J63" s="141"/>
      <c r="K63" s="141"/>
      <c r="L63" s="141"/>
      <c r="M63" s="5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25">
      <c r="A64" s="153">
        <v>43845</v>
      </c>
      <c r="B64" s="131">
        <v>1923.41</v>
      </c>
      <c r="C64" s="131"/>
      <c r="D64" s="131"/>
      <c r="E64" s="132"/>
      <c r="F64" s="132"/>
      <c r="G64" s="134">
        <f>SUM(B64:F64)</f>
        <v>1923.41</v>
      </c>
      <c r="H64" s="118">
        <v>154.91999999999999</v>
      </c>
      <c r="I64" s="118"/>
      <c r="J64" s="118">
        <f>19.23+62.15+1.56+694.25</f>
        <v>777.19</v>
      </c>
      <c r="K64" s="118">
        <f>H64+I64+J64</f>
        <v>932.11</v>
      </c>
      <c r="L64" s="118">
        <f>G64-K64</f>
        <v>991.30000000000007</v>
      </c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x14ac:dyDescent="0.25">
      <c r="A65" s="116" t="s">
        <v>125</v>
      </c>
      <c r="B65" s="137"/>
      <c r="C65" s="137"/>
      <c r="D65" s="137"/>
      <c r="E65" s="138"/>
      <c r="F65" s="138"/>
      <c r="G65" s="140"/>
      <c r="H65" s="141"/>
      <c r="I65" s="141"/>
      <c r="J65" s="141"/>
      <c r="K65" s="141"/>
      <c r="L65" s="141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A66" s="142" t="s">
        <v>126</v>
      </c>
      <c r="B66" s="137"/>
      <c r="C66" s="137"/>
      <c r="D66" s="137"/>
      <c r="E66" s="138"/>
      <c r="F66" s="138"/>
      <c r="G66" s="140"/>
      <c r="H66" s="141"/>
      <c r="I66" s="141"/>
      <c r="J66" s="141"/>
      <c r="K66" s="141"/>
      <c r="L66" s="141"/>
      <c r="M66" s="5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25">
      <c r="A67" s="153">
        <v>39783</v>
      </c>
      <c r="B67" s="131">
        <v>2405.4299999999998</v>
      </c>
      <c r="C67" s="131">
        <f>707.2+235.73</f>
        <v>942.93000000000006</v>
      </c>
      <c r="D67" s="131">
        <v>48.11</v>
      </c>
      <c r="E67" s="132">
        <v>1082.44</v>
      </c>
      <c r="F67" s="132"/>
      <c r="G67" s="134">
        <f>SUM(B67:F67)</f>
        <v>4478.91</v>
      </c>
      <c r="H67" s="118">
        <f>392.51+70.71</f>
        <v>463.21999999999997</v>
      </c>
      <c r="I67" s="118">
        <v>116.72</v>
      </c>
      <c r="J67" s="118">
        <f>62.15+2.73+519.4+88.71</f>
        <v>672.99</v>
      </c>
      <c r="K67" s="118">
        <f>H67+I67+J67</f>
        <v>1252.9299999999998</v>
      </c>
      <c r="L67" s="118">
        <f>G67-K67</f>
        <v>3225.98</v>
      </c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x14ac:dyDescent="0.25">
      <c r="A68" s="115" t="s">
        <v>127</v>
      </c>
      <c r="B68" s="135"/>
      <c r="C68" s="154"/>
      <c r="D68" s="154"/>
      <c r="E68" s="155"/>
      <c r="F68" s="156"/>
      <c r="G68" s="157"/>
      <c r="H68" s="158"/>
      <c r="I68" s="158"/>
      <c r="J68" s="158"/>
      <c r="K68" s="158"/>
      <c r="L68" s="158"/>
      <c r="M68" s="5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120" t="s">
        <v>161</v>
      </c>
      <c r="B69" s="135"/>
      <c r="C69" s="154"/>
      <c r="D69" s="154"/>
      <c r="E69" s="155"/>
      <c r="F69" s="156"/>
      <c r="G69" s="157"/>
      <c r="H69" s="158"/>
      <c r="I69" s="158"/>
      <c r="J69" s="158"/>
      <c r="K69" s="158"/>
      <c r="L69" s="158"/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25">
      <c r="A70" s="153">
        <v>43325</v>
      </c>
      <c r="B70" s="131">
        <v>2058.0500000000002</v>
      </c>
      <c r="C70" s="131"/>
      <c r="D70" s="131"/>
      <c r="E70" s="132"/>
      <c r="F70" s="132"/>
      <c r="G70" s="134">
        <f>SUM(B70:F70)</f>
        <v>2058.0500000000002</v>
      </c>
      <c r="H70" s="118">
        <v>167.04</v>
      </c>
      <c r="I70" s="118"/>
      <c r="J70" s="118">
        <f>62.15+2.6+66.85+29.57</f>
        <v>161.16999999999999</v>
      </c>
      <c r="K70" s="118">
        <f>H70+I70+J70</f>
        <v>328.21</v>
      </c>
      <c r="L70" s="118">
        <f>G70-K70</f>
        <v>1729.8400000000001</v>
      </c>
      <c r="M70" s="5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25">
      <c r="A71" s="115" t="s">
        <v>155</v>
      </c>
      <c r="B71" s="135"/>
      <c r="C71" s="154"/>
      <c r="D71" s="154"/>
      <c r="E71" s="155"/>
      <c r="F71" s="156"/>
      <c r="G71" s="157"/>
      <c r="H71" s="158"/>
      <c r="I71" s="158"/>
      <c r="J71" s="158"/>
      <c r="K71" s="158"/>
      <c r="L71" s="158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x14ac:dyDescent="0.25">
      <c r="A72" s="120" t="s">
        <v>156</v>
      </c>
      <c r="B72" s="135"/>
      <c r="C72" s="154"/>
      <c r="D72" s="154"/>
      <c r="E72" s="155"/>
      <c r="F72" s="156"/>
      <c r="G72" s="157"/>
      <c r="H72" s="158"/>
      <c r="I72" s="158"/>
      <c r="J72" s="158"/>
      <c r="K72" s="158"/>
      <c r="L72" s="158"/>
      <c r="M72" s="5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x14ac:dyDescent="0.25">
      <c r="A73" s="153">
        <v>44686</v>
      </c>
      <c r="B73" s="131">
        <v>1797.58</v>
      </c>
      <c r="C73" s="131"/>
      <c r="D73" s="131"/>
      <c r="E73" s="132"/>
      <c r="F73" s="132"/>
      <c r="G73" s="134">
        <f>SUM(B73:F73)</f>
        <v>1797.58</v>
      </c>
      <c r="H73" s="118">
        <v>143.6</v>
      </c>
      <c r="I73" s="118"/>
      <c r="J73" s="118">
        <f>17.98+62.15+2.73+214.02</f>
        <v>296.88</v>
      </c>
      <c r="K73" s="118">
        <f>H73+I73+J73</f>
        <v>440.48</v>
      </c>
      <c r="L73" s="118">
        <f>G73-K73</f>
        <v>1357.1</v>
      </c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25">
      <c r="A74" s="151" t="s">
        <v>129</v>
      </c>
      <c r="B74" s="264"/>
      <c r="C74" s="236"/>
      <c r="D74" s="236"/>
      <c r="E74" s="236"/>
      <c r="F74" s="236"/>
      <c r="G74" s="236"/>
      <c r="H74" s="236"/>
      <c r="I74" s="236"/>
      <c r="J74" s="236"/>
      <c r="K74" s="236"/>
      <c r="L74" s="236"/>
      <c r="M74" s="5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x14ac:dyDescent="0.25">
      <c r="A75" s="115" t="s">
        <v>130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x14ac:dyDescent="0.25">
      <c r="A76" s="120" t="s">
        <v>131</v>
      </c>
      <c r="B76" s="135"/>
      <c r="C76" s="154"/>
      <c r="D76" s="154"/>
      <c r="E76" s="155"/>
      <c r="F76" s="156"/>
      <c r="G76" s="157"/>
      <c r="H76" s="158"/>
      <c r="I76" s="158"/>
      <c r="J76" s="158"/>
      <c r="K76" s="158"/>
      <c r="L76" s="158"/>
      <c r="M76" s="5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25">
      <c r="A77" s="153">
        <v>44509</v>
      </c>
      <c r="B77" s="131">
        <v>2663.52</v>
      </c>
      <c r="C77" s="131"/>
      <c r="D77" s="131"/>
      <c r="E77" s="132"/>
      <c r="F77" s="132"/>
      <c r="G77" s="134">
        <f>SUM(B77:F77)</f>
        <v>2663.52</v>
      </c>
      <c r="H77" s="118">
        <v>228.62</v>
      </c>
      <c r="I77" s="118">
        <v>39.82</v>
      </c>
      <c r="J77" s="118">
        <f>26.64+62.15+2.47</f>
        <v>91.259999999999991</v>
      </c>
      <c r="K77" s="118">
        <f>H77+I77+J77</f>
        <v>359.7</v>
      </c>
      <c r="L77" s="118">
        <f>G77-K77</f>
        <v>2303.8200000000002</v>
      </c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x14ac:dyDescent="0.25">
      <c r="A78" s="116" t="s">
        <v>132</v>
      </c>
      <c r="B78" s="160"/>
      <c r="C78" s="160"/>
      <c r="D78" s="160"/>
      <c r="E78" s="160"/>
      <c r="F78" s="160"/>
      <c r="G78" s="161"/>
      <c r="H78" s="161"/>
      <c r="I78" s="161"/>
      <c r="J78" s="161"/>
      <c r="K78" s="161"/>
      <c r="L78" s="161"/>
      <c r="M78" s="5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x14ac:dyDescent="0.25">
      <c r="A79" s="120" t="s">
        <v>162</v>
      </c>
      <c r="B79" s="135"/>
      <c r="C79" s="135"/>
      <c r="D79" s="135"/>
      <c r="E79" s="136"/>
      <c r="F79" s="136"/>
      <c r="G79" s="130"/>
      <c r="H79" s="129"/>
      <c r="I79" s="129"/>
      <c r="J79" s="129"/>
      <c r="K79" s="129"/>
      <c r="L79" s="129"/>
      <c r="M79" s="52"/>
      <c r="N79" s="1"/>
      <c r="O79" s="1"/>
      <c r="P79" s="34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6.5" customHeight="1" x14ac:dyDescent="0.25">
      <c r="A80" s="114">
        <v>43325</v>
      </c>
      <c r="B80" s="131">
        <v>3049.46</v>
      </c>
      <c r="C80" s="131"/>
      <c r="D80" s="131"/>
      <c r="E80" s="132">
        <v>1372.25</v>
      </c>
      <c r="F80" s="133"/>
      <c r="G80" s="134">
        <f>SUM(B80:F80)</f>
        <v>4421.71</v>
      </c>
      <c r="H80" s="118">
        <v>455.21</v>
      </c>
      <c r="I80" s="118">
        <v>183.3</v>
      </c>
      <c r="J80" s="118">
        <f>30.49+62.15+2.73+29.57</f>
        <v>124.94</v>
      </c>
      <c r="K80" s="118">
        <f>H80+I80+J80</f>
        <v>763.45</v>
      </c>
      <c r="L80" s="118">
        <f>G80-K80</f>
        <v>3658.26</v>
      </c>
      <c r="M80" s="5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x14ac:dyDescent="0.25">
      <c r="A81" s="151" t="s">
        <v>134</v>
      </c>
      <c r="B81" s="264"/>
      <c r="C81" s="236"/>
      <c r="D81" s="236"/>
      <c r="E81" s="236"/>
      <c r="F81" s="236"/>
      <c r="G81" s="236"/>
      <c r="H81" s="236"/>
      <c r="I81" s="236"/>
      <c r="J81" s="236"/>
      <c r="K81" s="236"/>
      <c r="L81" s="236"/>
      <c r="M81" s="5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x14ac:dyDescent="0.25">
      <c r="A82" s="116" t="s">
        <v>135</v>
      </c>
      <c r="B82" s="160"/>
      <c r="C82" s="160"/>
      <c r="D82" s="160"/>
      <c r="E82" s="160"/>
      <c r="F82" s="160"/>
      <c r="G82" s="161"/>
      <c r="H82" s="161"/>
      <c r="I82" s="161"/>
      <c r="J82" s="161"/>
      <c r="K82" s="161"/>
      <c r="L82" s="161"/>
      <c r="M82" s="5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 x14ac:dyDescent="0.25">
      <c r="A83" s="120" t="s">
        <v>136</v>
      </c>
      <c r="B83" s="135"/>
      <c r="C83" s="135"/>
      <c r="D83" s="135"/>
      <c r="E83" s="136"/>
      <c r="F83" s="136"/>
      <c r="G83" s="130"/>
      <c r="H83" s="129"/>
      <c r="I83" s="129"/>
      <c r="J83" s="129"/>
      <c r="K83" s="129"/>
      <c r="L83" s="129"/>
      <c r="M83" s="52"/>
      <c r="N83" s="1"/>
      <c r="O83" s="1"/>
      <c r="P83" s="34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6.5" customHeight="1" x14ac:dyDescent="0.25">
      <c r="A84" s="114">
        <v>43675</v>
      </c>
      <c r="B84" s="131">
        <v>2849.96</v>
      </c>
      <c r="C84" s="131"/>
      <c r="D84" s="131"/>
      <c r="E84" s="132"/>
      <c r="F84" s="133"/>
      <c r="G84" s="134">
        <f>SUM(B84:F84)</f>
        <v>2849.96</v>
      </c>
      <c r="H84" s="118">
        <v>250.99</v>
      </c>
      <c r="I84" s="118">
        <v>52.12</v>
      </c>
      <c r="J84" s="118">
        <f>62.15+2.73+236.41</f>
        <v>301.28999999999996</v>
      </c>
      <c r="K84" s="118">
        <f>H84+I84+J84</f>
        <v>604.4</v>
      </c>
      <c r="L84" s="118">
        <f>G84-K84</f>
        <v>2245.56</v>
      </c>
      <c r="M84" s="5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6.5" customHeight="1" x14ac:dyDescent="0.25">
      <c r="A85" s="142"/>
      <c r="B85" s="137"/>
      <c r="C85" s="137"/>
      <c r="D85" s="137"/>
      <c r="E85" s="138"/>
      <c r="F85" s="139"/>
      <c r="G85" s="140"/>
      <c r="H85" s="141"/>
      <c r="I85" s="141"/>
      <c r="J85" s="141"/>
      <c r="K85" s="141"/>
      <c r="L85" s="141"/>
      <c r="M85" s="5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x14ac:dyDescent="0.25">
      <c r="A86" s="258" t="s">
        <v>159</v>
      </c>
      <c r="B86" s="229"/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5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x14ac:dyDescent="0.25">
      <c r="A87" s="121" t="s">
        <v>66</v>
      </c>
      <c r="B87" s="122">
        <v>2022</v>
      </c>
      <c r="C87" s="149"/>
      <c r="D87" s="149"/>
      <c r="E87" s="150"/>
      <c r="F87" s="150"/>
      <c r="G87" s="150"/>
      <c r="H87" s="149"/>
      <c r="I87" s="149"/>
      <c r="J87" s="149"/>
      <c r="K87" s="149"/>
      <c r="L87" s="149"/>
      <c r="M87" s="5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 x14ac:dyDescent="0.25">
      <c r="A88" s="125" t="s">
        <v>2</v>
      </c>
      <c r="B88" s="259" t="s">
        <v>3</v>
      </c>
      <c r="C88" s="259" t="s">
        <v>92</v>
      </c>
      <c r="D88" s="260" t="s">
        <v>93</v>
      </c>
      <c r="E88" s="261" t="s">
        <v>8</v>
      </c>
      <c r="F88" s="263" t="s">
        <v>94</v>
      </c>
      <c r="G88" s="263" t="s">
        <v>9</v>
      </c>
      <c r="H88" s="259" t="s">
        <v>11</v>
      </c>
      <c r="I88" s="259" t="s">
        <v>95</v>
      </c>
      <c r="J88" s="260" t="s">
        <v>12</v>
      </c>
      <c r="K88" s="260" t="s">
        <v>13</v>
      </c>
      <c r="L88" s="260" t="s">
        <v>14</v>
      </c>
      <c r="M88" s="5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x14ac:dyDescent="0.25">
      <c r="A89" s="126" t="s">
        <v>15</v>
      </c>
      <c r="B89" s="249"/>
      <c r="C89" s="249"/>
      <c r="D89" s="249"/>
      <c r="E89" s="261"/>
      <c r="F89" s="249"/>
      <c r="G89" s="249"/>
      <c r="H89" s="249"/>
      <c r="I89" s="249"/>
      <c r="J89" s="249"/>
      <c r="K89" s="249"/>
      <c r="L89" s="249"/>
      <c r="M89" s="5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x14ac:dyDescent="0.25">
      <c r="A90" s="127" t="s">
        <v>16</v>
      </c>
      <c r="B90" s="250"/>
      <c r="C90" s="250"/>
      <c r="D90" s="250"/>
      <c r="E90" s="262"/>
      <c r="F90" s="250"/>
      <c r="G90" s="250"/>
      <c r="H90" s="250"/>
      <c r="I90" s="250"/>
      <c r="J90" s="250"/>
      <c r="K90" s="250"/>
      <c r="L90" s="250"/>
      <c r="M90" s="5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x14ac:dyDescent="0.25">
      <c r="A91" s="151" t="s">
        <v>137</v>
      </c>
      <c r="B91" s="264"/>
      <c r="C91" s="236"/>
      <c r="D91" s="236"/>
      <c r="E91" s="236"/>
      <c r="F91" s="236"/>
      <c r="G91" s="236"/>
      <c r="H91" s="236"/>
      <c r="I91" s="236"/>
      <c r="J91" s="236"/>
      <c r="K91" s="236"/>
      <c r="L91" s="236"/>
      <c r="M91" s="5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customHeight="1" x14ac:dyDescent="0.25">
      <c r="A92" s="116" t="s">
        <v>138</v>
      </c>
      <c r="B92" s="160"/>
      <c r="C92" s="160"/>
      <c r="D92" s="160"/>
      <c r="E92" s="160"/>
      <c r="F92" s="160"/>
      <c r="G92" s="161"/>
      <c r="H92" s="161"/>
      <c r="I92" s="161"/>
      <c r="J92" s="161"/>
      <c r="K92" s="161"/>
      <c r="L92" s="161"/>
      <c r="M92" s="5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x14ac:dyDescent="0.25">
      <c r="A93" s="120" t="s">
        <v>131</v>
      </c>
      <c r="B93" s="135"/>
      <c r="C93" s="135"/>
      <c r="D93" s="135"/>
      <c r="E93" s="136"/>
      <c r="F93" s="136"/>
      <c r="G93" s="130"/>
      <c r="H93" s="129"/>
      <c r="I93" s="129"/>
      <c r="J93" s="129"/>
      <c r="K93" s="129"/>
      <c r="L93" s="129"/>
      <c r="M93" s="52"/>
      <c r="N93" s="1"/>
      <c r="O93" s="1"/>
      <c r="P93" s="34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6.5" customHeight="1" x14ac:dyDescent="0.25">
      <c r="A94" s="114">
        <v>44516</v>
      </c>
      <c r="B94" s="131">
        <v>2663.52</v>
      </c>
      <c r="C94" s="131"/>
      <c r="D94" s="131"/>
      <c r="E94" s="132"/>
      <c r="F94" s="133"/>
      <c r="G94" s="134">
        <f>SUM(B94:F94)</f>
        <v>2663.52</v>
      </c>
      <c r="H94" s="118">
        <v>228.62</v>
      </c>
      <c r="I94" s="118">
        <v>25.6</v>
      </c>
      <c r="J94" s="118">
        <f>26.64+62.15+2.73+157.82+29.57</f>
        <v>278.90999999999997</v>
      </c>
      <c r="K94" s="118">
        <f>H94+I94+J94</f>
        <v>533.13</v>
      </c>
      <c r="L94" s="118">
        <f>G94-K94</f>
        <v>2130.39</v>
      </c>
      <c r="M94" s="5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x14ac:dyDescent="0.25">
      <c r="A95" s="116" t="s">
        <v>158</v>
      </c>
      <c r="B95" s="160"/>
      <c r="C95" s="160"/>
      <c r="D95" s="160"/>
      <c r="E95" s="160"/>
      <c r="F95" s="160"/>
      <c r="G95" s="161"/>
      <c r="H95" s="161"/>
      <c r="I95" s="161"/>
      <c r="J95" s="161"/>
      <c r="K95" s="161"/>
      <c r="L95" s="161"/>
      <c r="M95" s="5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 x14ac:dyDescent="0.25">
      <c r="A96" s="120" t="s">
        <v>131</v>
      </c>
      <c r="B96" s="135"/>
      <c r="C96" s="135"/>
      <c r="D96" s="135"/>
      <c r="E96" s="136"/>
      <c r="F96" s="136"/>
      <c r="G96" s="130"/>
      <c r="H96" s="129"/>
      <c r="I96" s="129"/>
      <c r="J96" s="129"/>
      <c r="K96" s="129"/>
      <c r="L96" s="129"/>
      <c r="M96" s="52"/>
      <c r="N96" s="1"/>
      <c r="O96" s="1"/>
      <c r="P96" s="34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6.5" customHeight="1" x14ac:dyDescent="0.25">
      <c r="A97" s="114">
        <v>44739</v>
      </c>
      <c r="B97" s="131">
        <v>2663.52</v>
      </c>
      <c r="C97" s="131"/>
      <c r="D97" s="131"/>
      <c r="E97" s="132"/>
      <c r="F97" s="133"/>
      <c r="G97" s="134">
        <f>SUM(B97:F97)</f>
        <v>2663.52</v>
      </c>
      <c r="H97" s="118">
        <v>228.62</v>
      </c>
      <c r="I97" s="118">
        <v>25.6</v>
      </c>
      <c r="J97" s="118">
        <f>26.63+62.15+2.73</f>
        <v>91.51</v>
      </c>
      <c r="K97" s="118">
        <f>SUM(H97:J97)</f>
        <v>345.73</v>
      </c>
      <c r="L97" s="118">
        <f>G97-K97</f>
        <v>2317.79</v>
      </c>
      <c r="M97" s="5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6.5" customHeight="1" x14ac:dyDescent="0.25">
      <c r="A98" s="142"/>
      <c r="B98" s="137"/>
      <c r="C98" s="137"/>
      <c r="D98" s="137"/>
      <c r="E98" s="138"/>
      <c r="F98" s="139"/>
      <c r="G98" s="140"/>
      <c r="H98" s="141"/>
      <c r="I98" s="141"/>
      <c r="J98" s="141"/>
      <c r="K98" s="141"/>
      <c r="L98" s="141"/>
      <c r="M98" s="5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6.5" customHeight="1" x14ac:dyDescent="0.25">
      <c r="A99" s="142"/>
      <c r="B99" s="137"/>
      <c r="C99" s="137"/>
      <c r="D99" s="137"/>
      <c r="E99" s="138"/>
      <c r="F99" s="139"/>
      <c r="G99" s="140"/>
      <c r="H99" s="141"/>
      <c r="I99" s="141"/>
      <c r="J99" s="141"/>
      <c r="K99" s="141"/>
      <c r="L99" s="141"/>
      <c r="M99" s="5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6.5" customHeight="1" x14ac:dyDescent="0.25">
      <c r="A100" s="142"/>
      <c r="B100" s="137"/>
      <c r="C100" s="137"/>
      <c r="D100" s="267" t="s">
        <v>53</v>
      </c>
      <c r="E100" s="267"/>
      <c r="F100" s="267"/>
      <c r="G100" s="267"/>
      <c r="H100" s="267"/>
      <c r="I100" s="141"/>
      <c r="J100" s="141"/>
      <c r="K100" s="141"/>
      <c r="L100" s="141"/>
      <c r="M100" s="5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x14ac:dyDescent="0.25">
      <c r="A101" s="121" t="s">
        <v>66</v>
      </c>
      <c r="B101" s="122">
        <v>2022</v>
      </c>
      <c r="C101" s="149"/>
      <c r="D101" s="149"/>
      <c r="E101" s="150"/>
      <c r="F101" s="150"/>
      <c r="G101" s="150"/>
      <c r="H101" s="149"/>
      <c r="I101" s="149"/>
      <c r="J101" s="149"/>
      <c r="K101" s="149"/>
      <c r="L101" s="149"/>
      <c r="M101" s="149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x14ac:dyDescent="0.25">
      <c r="A102" s="125" t="s">
        <v>2</v>
      </c>
      <c r="B102" s="259" t="s">
        <v>3</v>
      </c>
      <c r="C102" s="259" t="s">
        <v>163</v>
      </c>
      <c r="D102" s="259" t="s">
        <v>92</v>
      </c>
      <c r="E102" s="259" t="s">
        <v>93</v>
      </c>
      <c r="F102" s="259" t="s">
        <v>8</v>
      </c>
      <c r="G102" s="259" t="s">
        <v>94</v>
      </c>
      <c r="H102" s="259" t="s">
        <v>9</v>
      </c>
      <c r="I102" s="259" t="s">
        <v>11</v>
      </c>
      <c r="J102" s="259" t="s">
        <v>95</v>
      </c>
      <c r="K102" s="260" t="s">
        <v>12</v>
      </c>
      <c r="L102" s="260" t="s">
        <v>13</v>
      </c>
      <c r="M102" s="260" t="s">
        <v>14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 x14ac:dyDescent="0.25">
      <c r="A103" s="126" t="s">
        <v>15</v>
      </c>
      <c r="B103" s="249"/>
      <c r="C103" s="249"/>
      <c r="D103" s="249"/>
      <c r="E103" s="249"/>
      <c r="F103" s="249"/>
      <c r="G103" s="249"/>
      <c r="H103" s="249"/>
      <c r="I103" s="249"/>
      <c r="J103" s="249"/>
      <c r="K103" s="249"/>
      <c r="L103" s="249"/>
      <c r="M103" s="249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 x14ac:dyDescent="0.25">
      <c r="A104" s="127" t="s">
        <v>16</v>
      </c>
      <c r="B104" s="250"/>
      <c r="C104" s="250"/>
      <c r="D104" s="250"/>
      <c r="E104" s="250"/>
      <c r="F104" s="250"/>
      <c r="G104" s="250"/>
      <c r="H104" s="250"/>
      <c r="I104" s="166"/>
      <c r="J104" s="166"/>
      <c r="K104" s="166"/>
      <c r="L104" s="166"/>
      <c r="M104" s="166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 x14ac:dyDescent="0.25">
      <c r="A105" s="116" t="s">
        <v>160</v>
      </c>
      <c r="B105" s="160"/>
      <c r="C105" s="160"/>
      <c r="D105" s="160"/>
      <c r="E105" s="160"/>
      <c r="F105" s="160"/>
      <c r="G105" s="160"/>
      <c r="H105" s="161"/>
      <c r="I105" s="161"/>
      <c r="J105" s="161"/>
      <c r="K105" s="161"/>
      <c r="L105" s="161"/>
      <c r="M105" s="16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 x14ac:dyDescent="0.25">
      <c r="A106" s="119" t="s">
        <v>131</v>
      </c>
      <c r="B106" s="135"/>
      <c r="C106" s="135"/>
      <c r="D106" s="135"/>
      <c r="E106" s="135"/>
      <c r="F106" s="136"/>
      <c r="G106" s="162"/>
      <c r="H106" s="130"/>
      <c r="I106" s="129"/>
      <c r="J106" s="129"/>
      <c r="K106" s="129"/>
      <c r="L106" s="129"/>
      <c r="M106" s="129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customHeight="1" x14ac:dyDescent="0.25">
      <c r="A107" s="114">
        <v>44767</v>
      </c>
      <c r="B107" s="131">
        <v>1420.54</v>
      </c>
      <c r="C107" s="131">
        <f>40.97+213.08</f>
        <v>254.05</v>
      </c>
      <c r="D107" s="131">
        <f>149.15+447.45</f>
        <v>596.6</v>
      </c>
      <c r="E107" s="131"/>
      <c r="F107" s="132"/>
      <c r="G107" s="133">
        <v>447.45</v>
      </c>
      <c r="H107" s="134">
        <f>SUM(B107:G107)</f>
        <v>2718.64</v>
      </c>
      <c r="I107" s="118">
        <f>132.53+33.55</f>
        <v>166.07999999999998</v>
      </c>
      <c r="J107" s="118">
        <v>218.87</v>
      </c>
      <c r="K107" s="118">
        <f>613.22+131.43</f>
        <v>744.65000000000009</v>
      </c>
      <c r="L107" s="118">
        <f>I107+J107+K107</f>
        <v>1129.6000000000001</v>
      </c>
      <c r="M107" s="118">
        <f>H107-L107</f>
        <v>1589.0399999999997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.75" customHeight="1" x14ac:dyDescent="0.25">
      <c r="A108" s="163"/>
      <c r="B108" s="164"/>
      <c r="C108" s="165"/>
      <c r="D108" s="95"/>
      <c r="E108" s="95"/>
      <c r="F108" s="95"/>
      <c r="G108" s="95"/>
      <c r="H108" s="95"/>
      <c r="I108" s="95"/>
      <c r="J108" s="95"/>
      <c r="K108" s="95"/>
      <c r="L108" s="95"/>
      <c r="M108" s="5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.75" customHeight="1" x14ac:dyDescent="0.25">
      <c r="A109" s="102"/>
      <c r="B109" s="93"/>
      <c r="C109" s="95"/>
      <c r="D109" s="95"/>
      <c r="E109" s="95"/>
      <c r="F109" s="95"/>
      <c r="G109" s="95"/>
      <c r="H109" s="95"/>
      <c r="I109" s="95"/>
      <c r="J109" s="95"/>
      <c r="K109" s="95"/>
      <c r="L109" s="113"/>
      <c r="M109" s="52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5.75" customHeight="1" x14ac:dyDescent="0.25">
      <c r="A110" s="1"/>
      <c r="B110" s="60"/>
      <c r="C110" s="60"/>
      <c r="D110" s="60"/>
      <c r="E110" s="76"/>
      <c r="F110" s="76"/>
      <c r="G110" s="76"/>
      <c r="H110" s="60"/>
      <c r="I110" s="60"/>
      <c r="J110" s="60"/>
      <c r="K110" s="60"/>
      <c r="L110" s="60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5.75" customHeight="1" x14ac:dyDescent="0.25">
      <c r="A111" s="1"/>
      <c r="B111" s="60"/>
      <c r="C111" s="60"/>
      <c r="D111" s="60"/>
      <c r="E111" s="76"/>
      <c r="F111" s="76"/>
      <c r="G111" s="76"/>
      <c r="H111" s="60"/>
      <c r="I111" s="60"/>
      <c r="J111" s="60"/>
      <c r="K111" s="60"/>
      <c r="L111" s="60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5.75" customHeight="1" x14ac:dyDescent="0.25">
      <c r="A112" s="1"/>
      <c r="B112" s="60"/>
      <c r="C112" s="60"/>
      <c r="D112" s="60"/>
      <c r="E112" s="76"/>
      <c r="F112" s="76"/>
      <c r="G112" s="76"/>
      <c r="H112" s="60"/>
      <c r="I112" s="60"/>
      <c r="J112" s="60"/>
      <c r="K112" s="60"/>
      <c r="L112" s="60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.75" customHeight="1" x14ac:dyDescent="0.25">
      <c r="A113" s="1"/>
      <c r="B113" s="60"/>
      <c r="C113" s="60"/>
      <c r="D113" s="60"/>
      <c r="E113" s="76"/>
      <c r="F113" s="76"/>
      <c r="G113" s="76"/>
      <c r="H113" s="60"/>
      <c r="I113" s="60"/>
      <c r="J113" s="60"/>
      <c r="K113" s="60"/>
      <c r="L113" s="6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.75" customHeight="1" x14ac:dyDescent="0.25">
      <c r="A114" s="1"/>
      <c r="B114" s="60"/>
      <c r="C114" s="60"/>
      <c r="D114" s="60"/>
      <c r="E114" s="76"/>
      <c r="F114" s="76"/>
      <c r="G114" s="76"/>
      <c r="H114" s="60"/>
      <c r="I114" s="60"/>
      <c r="J114" s="60"/>
      <c r="K114" s="60"/>
      <c r="L114" s="60"/>
      <c r="M114" s="10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.75" customHeight="1" x14ac:dyDescent="0.25">
      <c r="A115" s="1"/>
      <c r="B115" s="60"/>
      <c r="C115" s="60"/>
      <c r="D115" s="60"/>
      <c r="E115" s="76"/>
      <c r="F115" s="76"/>
      <c r="G115" s="76"/>
      <c r="H115" s="60"/>
      <c r="I115" s="60"/>
      <c r="J115" s="60"/>
      <c r="K115" s="60"/>
      <c r="L115" s="64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 x14ac:dyDescent="0.25">
      <c r="A116" s="1"/>
      <c r="B116" s="60"/>
      <c r="C116" s="60"/>
      <c r="D116" s="60"/>
      <c r="E116" s="76"/>
      <c r="F116" s="76"/>
      <c r="G116" s="76"/>
      <c r="H116" s="60"/>
      <c r="I116" s="60"/>
      <c r="J116" s="60"/>
      <c r="K116" s="60"/>
      <c r="L116" s="60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 x14ac:dyDescent="0.25">
      <c r="A117" s="1"/>
      <c r="B117" s="60"/>
      <c r="C117" s="60"/>
      <c r="D117" s="60"/>
      <c r="E117" s="76"/>
      <c r="F117" s="76"/>
      <c r="G117" s="76"/>
      <c r="H117" s="60"/>
      <c r="I117" s="60"/>
      <c r="J117" s="60"/>
      <c r="K117" s="60"/>
      <c r="L117" s="60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 x14ac:dyDescent="0.25">
      <c r="A118" s="1"/>
      <c r="B118" s="60"/>
      <c r="C118" s="60"/>
      <c r="D118" s="60"/>
      <c r="E118" s="76"/>
      <c r="F118" s="76"/>
      <c r="G118" s="76"/>
      <c r="H118" s="60"/>
      <c r="I118" s="60"/>
      <c r="J118" s="60"/>
      <c r="K118" s="60"/>
      <c r="L118" s="6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 x14ac:dyDescent="0.25">
      <c r="A119" s="1"/>
      <c r="B119" s="60"/>
      <c r="C119" s="60"/>
      <c r="D119" s="60"/>
      <c r="E119" s="76"/>
      <c r="F119" s="76"/>
      <c r="G119" s="76"/>
      <c r="H119" s="60"/>
      <c r="I119" s="60"/>
      <c r="J119" s="60"/>
      <c r="K119" s="60"/>
      <c r="L119" s="60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 x14ac:dyDescent="0.25">
      <c r="A120" s="1"/>
      <c r="B120" s="60"/>
      <c r="C120" s="60"/>
      <c r="D120" s="60"/>
      <c r="E120" s="76"/>
      <c r="F120" s="76"/>
      <c r="G120" s="76"/>
      <c r="H120" s="60"/>
      <c r="I120" s="60"/>
      <c r="J120" s="60"/>
      <c r="K120" s="60"/>
      <c r="L120" s="6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 x14ac:dyDescent="0.25">
      <c r="A121" s="1"/>
      <c r="B121" s="60"/>
      <c r="C121" s="60"/>
      <c r="D121" s="60"/>
      <c r="E121" s="76"/>
      <c r="F121" s="76"/>
      <c r="G121" s="76"/>
      <c r="H121" s="60"/>
      <c r="I121" s="60"/>
      <c r="J121" s="60"/>
      <c r="K121" s="60"/>
      <c r="L121" s="60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60"/>
      <c r="C122" s="60"/>
      <c r="D122" s="60"/>
      <c r="E122" s="76"/>
      <c r="F122" s="76"/>
      <c r="G122" s="76"/>
      <c r="H122" s="60"/>
      <c r="I122" s="60"/>
      <c r="J122" s="60"/>
      <c r="K122" s="60"/>
      <c r="L122" s="6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60"/>
      <c r="C123" s="60"/>
      <c r="D123" s="60"/>
      <c r="E123" s="76"/>
      <c r="F123" s="76"/>
      <c r="G123" s="76"/>
      <c r="H123" s="60"/>
      <c r="I123" s="60"/>
      <c r="J123" s="60"/>
      <c r="K123" s="60"/>
      <c r="L123" s="6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60"/>
      <c r="C124" s="60"/>
      <c r="D124" s="60"/>
      <c r="E124" s="76"/>
      <c r="F124" s="76"/>
      <c r="G124" s="76"/>
      <c r="H124" s="60"/>
      <c r="I124" s="60"/>
      <c r="J124" s="60"/>
      <c r="K124" s="60"/>
      <c r="L124" s="6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60"/>
      <c r="C125" s="60"/>
      <c r="D125" s="60"/>
      <c r="E125" s="76"/>
      <c r="F125" s="76"/>
      <c r="G125" s="76"/>
      <c r="H125" s="60"/>
      <c r="I125" s="60"/>
      <c r="J125" s="60"/>
      <c r="K125" s="60"/>
      <c r="L125" s="6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60"/>
      <c r="C126" s="60"/>
      <c r="D126" s="60"/>
      <c r="E126" s="76"/>
      <c r="F126" s="76"/>
      <c r="G126" s="76"/>
      <c r="H126" s="60"/>
      <c r="I126" s="60"/>
      <c r="J126" s="60"/>
      <c r="K126" s="60"/>
      <c r="L126" s="6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60"/>
      <c r="C127" s="60"/>
      <c r="D127" s="60"/>
      <c r="E127" s="76"/>
      <c r="F127" s="76"/>
      <c r="G127" s="76"/>
      <c r="H127" s="60"/>
      <c r="I127" s="60"/>
      <c r="J127" s="60"/>
      <c r="K127" s="60"/>
      <c r="L127" s="60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60"/>
      <c r="C128" s="60"/>
      <c r="D128" s="60"/>
      <c r="E128" s="76"/>
      <c r="F128" s="76"/>
      <c r="G128" s="76"/>
      <c r="H128" s="60"/>
      <c r="I128" s="60"/>
      <c r="J128" s="60"/>
      <c r="K128" s="60"/>
      <c r="L128" s="6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60"/>
      <c r="C129" s="60"/>
      <c r="D129" s="60"/>
      <c r="E129" s="76"/>
      <c r="F129" s="76"/>
      <c r="G129" s="76"/>
      <c r="H129" s="60"/>
      <c r="I129" s="60"/>
      <c r="J129" s="60"/>
      <c r="K129" s="60"/>
      <c r="L129" s="6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60"/>
      <c r="C130" s="60"/>
      <c r="D130" s="60"/>
      <c r="E130" s="76"/>
      <c r="F130" s="76"/>
      <c r="G130" s="76"/>
      <c r="H130" s="60"/>
      <c r="I130" s="60"/>
      <c r="J130" s="60"/>
      <c r="K130" s="60"/>
      <c r="L130" s="6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60"/>
      <c r="C131" s="60"/>
      <c r="D131" s="60"/>
      <c r="E131" s="76"/>
      <c r="F131" s="76"/>
      <c r="G131" s="76"/>
      <c r="H131" s="60"/>
      <c r="I131" s="60"/>
      <c r="J131" s="60"/>
      <c r="K131" s="60"/>
      <c r="L131" s="6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60"/>
      <c r="C132" s="60"/>
      <c r="D132" s="60"/>
      <c r="E132" s="76"/>
      <c r="F132" s="76"/>
      <c r="G132" s="76"/>
      <c r="H132" s="60"/>
      <c r="I132" s="60"/>
      <c r="J132" s="60"/>
      <c r="K132" s="60"/>
      <c r="L132" s="6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60"/>
      <c r="C133" s="60"/>
      <c r="D133" s="60"/>
      <c r="E133" s="76"/>
      <c r="F133" s="76"/>
      <c r="G133" s="76"/>
      <c r="H133" s="60"/>
      <c r="I133" s="60"/>
      <c r="J133" s="60"/>
      <c r="K133" s="60"/>
      <c r="L133" s="6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60"/>
      <c r="C134" s="60"/>
      <c r="D134" s="60"/>
      <c r="E134" s="76"/>
      <c r="F134" s="76"/>
      <c r="G134" s="76"/>
      <c r="H134" s="60"/>
      <c r="I134" s="60"/>
      <c r="J134" s="60"/>
      <c r="K134" s="60"/>
      <c r="L134" s="60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60"/>
      <c r="C135" s="60"/>
      <c r="D135" s="60"/>
      <c r="E135" s="76"/>
      <c r="F135" s="76"/>
      <c r="G135" s="76"/>
      <c r="H135" s="60"/>
      <c r="I135" s="60"/>
      <c r="J135" s="60"/>
      <c r="K135" s="60"/>
      <c r="L135" s="6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60"/>
      <c r="C136" s="60"/>
      <c r="D136" s="60"/>
      <c r="E136" s="76"/>
      <c r="F136" s="76"/>
      <c r="G136" s="76"/>
      <c r="H136" s="60"/>
      <c r="I136" s="60"/>
      <c r="J136" s="60"/>
      <c r="K136" s="60"/>
      <c r="L136" s="6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60"/>
      <c r="C137" s="60"/>
      <c r="D137" s="60"/>
      <c r="E137" s="76"/>
      <c r="F137" s="76"/>
      <c r="G137" s="76"/>
      <c r="H137" s="60"/>
      <c r="I137" s="60"/>
      <c r="J137" s="60"/>
      <c r="K137" s="60"/>
      <c r="L137" s="6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60"/>
      <c r="C138" s="60"/>
      <c r="D138" s="60"/>
      <c r="E138" s="76"/>
      <c r="F138" s="76"/>
      <c r="G138" s="76"/>
      <c r="H138" s="60"/>
      <c r="I138" s="60"/>
      <c r="J138" s="60"/>
      <c r="K138" s="60"/>
      <c r="L138" s="60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</sheetData>
  <mergeCells count="54">
    <mergeCell ref="M102:M103"/>
    <mergeCell ref="E102:E104"/>
    <mergeCell ref="F102:F104"/>
    <mergeCell ref="G102:G104"/>
    <mergeCell ref="I102:I103"/>
    <mergeCell ref="J102:J103"/>
    <mergeCell ref="K102:K103"/>
    <mergeCell ref="L102:L103"/>
    <mergeCell ref="H102:H104"/>
    <mergeCell ref="C102:C104"/>
    <mergeCell ref="B102:B104"/>
    <mergeCell ref="D102:D104"/>
    <mergeCell ref="I88:I90"/>
    <mergeCell ref="J88:J90"/>
    <mergeCell ref="K88:K90"/>
    <mergeCell ref="L88:L90"/>
    <mergeCell ref="B91:L91"/>
    <mergeCell ref="D100:H100"/>
    <mergeCell ref="B74:L74"/>
    <mergeCell ref="B81:L81"/>
    <mergeCell ref="A86:L86"/>
    <mergeCell ref="B88:B90"/>
    <mergeCell ref="C88:C90"/>
    <mergeCell ref="D88:D90"/>
    <mergeCell ref="E88:E90"/>
    <mergeCell ref="F88:F90"/>
    <mergeCell ref="G88:G90"/>
    <mergeCell ref="H88:H90"/>
    <mergeCell ref="B55:L55"/>
    <mergeCell ref="K3:K5"/>
    <mergeCell ref="L3:L5"/>
    <mergeCell ref="B6:L6"/>
    <mergeCell ref="A50:L50"/>
    <mergeCell ref="B52:B54"/>
    <mergeCell ref="C52:C54"/>
    <mergeCell ref="D52:D54"/>
    <mergeCell ref="E52:E54"/>
    <mergeCell ref="F52:F54"/>
    <mergeCell ref="G52:G54"/>
    <mergeCell ref="H52:H54"/>
    <mergeCell ref="I52:I54"/>
    <mergeCell ref="J52:J54"/>
    <mergeCell ref="K52:K54"/>
    <mergeCell ref="L52:L54"/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ageMargins left="0.511811024" right="0.511811024" top="0.78740157499999996" bottom="0.78740157499999996" header="0.31496062000000002" footer="0.31496062000000002"/>
  <pageSetup paperSize="9" scale="74" fitToHeight="0" orientation="landscape" r:id="rId1"/>
  <rowBreaks count="2" manualBreakCount="2">
    <brk id="48" max="12" man="1"/>
    <brk id="8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H124"/>
  <sheetViews>
    <sheetView tabSelected="1" topLeftCell="A8" zoomScaleNormal="100" workbookViewId="0">
      <selection activeCell="N46" sqref="N46"/>
    </sheetView>
  </sheetViews>
  <sheetFormatPr defaultRowHeight="14.25" x14ac:dyDescent="0.2"/>
  <cols>
    <col min="1" max="1" width="22.75" customWidth="1"/>
    <col min="2" max="4" width="13" customWidth="1"/>
    <col min="5" max="5" width="11.5" customWidth="1"/>
    <col min="6" max="6" width="13" customWidth="1"/>
    <col min="7" max="7" width="11.625" customWidth="1"/>
    <col min="8" max="8" width="12.5" customWidth="1"/>
    <col min="9" max="9" width="12.125" customWidth="1"/>
    <col min="10" max="10" width="13.5" customWidth="1"/>
    <col min="11" max="11" width="11.125" customWidth="1"/>
    <col min="12" max="12" width="12.375" customWidth="1"/>
    <col min="13" max="13" width="13.5" customWidth="1"/>
    <col min="14" max="14" width="15.875" customWidth="1"/>
    <col min="15" max="15" width="11.5" bestFit="1" customWidth="1"/>
  </cols>
  <sheetData>
    <row r="1" spans="1:34" ht="14.25" customHeight="1" x14ac:dyDescent="0.25">
      <c r="A1" s="273" t="s">
        <v>159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5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4.25" customHeight="1" thickBot="1" x14ac:dyDescent="0.3">
      <c r="A2" s="109" t="s">
        <v>91</v>
      </c>
      <c r="B2" s="175">
        <v>2023</v>
      </c>
      <c r="C2" s="175"/>
      <c r="D2" s="175"/>
      <c r="E2" s="176"/>
      <c r="F2" s="176"/>
      <c r="G2" s="177"/>
      <c r="H2" s="177"/>
      <c r="I2" s="177"/>
      <c r="J2" s="176"/>
      <c r="K2" s="176"/>
      <c r="L2" s="176"/>
      <c r="M2" s="176"/>
      <c r="N2" s="176"/>
      <c r="O2" s="5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4.25" customHeight="1" x14ac:dyDescent="0.25">
      <c r="A3" s="178" t="s">
        <v>2</v>
      </c>
      <c r="B3" s="274" t="s">
        <v>3</v>
      </c>
      <c r="C3" s="274" t="s">
        <v>164</v>
      </c>
      <c r="D3" s="274" t="s">
        <v>165</v>
      </c>
      <c r="E3" s="274" t="s">
        <v>92</v>
      </c>
      <c r="F3" s="268" t="s">
        <v>93</v>
      </c>
      <c r="G3" s="275" t="s">
        <v>8</v>
      </c>
      <c r="H3" s="277" t="s">
        <v>94</v>
      </c>
      <c r="I3" s="277" t="s">
        <v>9</v>
      </c>
      <c r="J3" s="274" t="s">
        <v>11</v>
      </c>
      <c r="K3" s="274" t="s">
        <v>95</v>
      </c>
      <c r="L3" s="268" t="s">
        <v>12</v>
      </c>
      <c r="M3" s="268" t="s">
        <v>13</v>
      </c>
      <c r="N3" s="271" t="s">
        <v>14</v>
      </c>
      <c r="O3" s="5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4.25" customHeight="1" x14ac:dyDescent="0.25">
      <c r="A4" s="179" t="s">
        <v>15</v>
      </c>
      <c r="B4" s="269"/>
      <c r="C4" s="269"/>
      <c r="D4" s="269"/>
      <c r="E4" s="269"/>
      <c r="F4" s="269"/>
      <c r="G4" s="275"/>
      <c r="H4" s="269"/>
      <c r="I4" s="269"/>
      <c r="J4" s="269"/>
      <c r="K4" s="269"/>
      <c r="L4" s="269"/>
      <c r="M4" s="269"/>
      <c r="N4" s="268"/>
      <c r="O4" s="5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4.25" customHeight="1" x14ac:dyDescent="0.25">
      <c r="A5" s="180" t="s">
        <v>16</v>
      </c>
      <c r="B5" s="270"/>
      <c r="C5" s="270"/>
      <c r="D5" s="270"/>
      <c r="E5" s="270"/>
      <c r="F5" s="270"/>
      <c r="G5" s="276"/>
      <c r="H5" s="270"/>
      <c r="I5" s="270"/>
      <c r="J5" s="270"/>
      <c r="K5" s="270"/>
      <c r="L5" s="270"/>
      <c r="M5" s="270"/>
      <c r="N5" s="272"/>
      <c r="O5" s="5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5.75" customHeight="1" x14ac:dyDescent="0.25">
      <c r="A6" s="181" t="s">
        <v>96</v>
      </c>
      <c r="B6" s="278"/>
      <c r="C6" s="278"/>
      <c r="D6" s="278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5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4.25" customHeight="1" x14ac:dyDescent="0.25">
      <c r="A7" s="116" t="s">
        <v>99</v>
      </c>
      <c r="B7" s="182"/>
      <c r="C7" s="182"/>
      <c r="D7" s="182"/>
      <c r="E7" s="182"/>
      <c r="F7" s="182"/>
      <c r="G7" s="183"/>
      <c r="H7" s="183"/>
      <c r="I7" s="183"/>
      <c r="J7" s="182"/>
      <c r="K7" s="182"/>
      <c r="L7" s="182"/>
      <c r="M7" s="182"/>
      <c r="N7" s="182"/>
      <c r="O7" s="5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customHeight="1" x14ac:dyDescent="0.25">
      <c r="A8" s="184" t="s">
        <v>151</v>
      </c>
      <c r="B8" s="182"/>
      <c r="C8" s="182"/>
      <c r="D8" s="182"/>
      <c r="E8" s="182"/>
      <c r="F8" s="182"/>
      <c r="G8" s="183"/>
      <c r="H8" s="183"/>
      <c r="I8" s="183"/>
      <c r="J8" s="182"/>
      <c r="K8" s="182"/>
      <c r="L8" s="182"/>
      <c r="M8" s="182"/>
      <c r="N8" s="182"/>
      <c r="O8" s="52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4.25" customHeight="1" thickBot="1" x14ac:dyDescent="0.3">
      <c r="A9" s="185">
        <v>43171</v>
      </c>
      <c r="B9" s="186">
        <v>1925.27</v>
      </c>
      <c r="C9" s="186"/>
      <c r="D9" s="186"/>
      <c r="E9" s="186"/>
      <c r="F9" s="186"/>
      <c r="G9" s="187"/>
      <c r="H9" s="68"/>
      <c r="I9" s="188">
        <f>SUM(B9:H9)</f>
        <v>1925.27</v>
      </c>
      <c r="J9" s="189">
        <v>156.47999999999999</v>
      </c>
      <c r="K9" s="189"/>
      <c r="L9" s="189">
        <f>62.15+2.21+78.06</f>
        <v>142.42000000000002</v>
      </c>
      <c r="M9" s="189">
        <f>SUM(J9:L9)</f>
        <v>298.89999999999998</v>
      </c>
      <c r="N9" s="189">
        <f>I9-M9</f>
        <v>1626.37</v>
      </c>
      <c r="O9" s="52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5.75" customHeight="1" thickTop="1" x14ac:dyDescent="0.25">
      <c r="A10" s="174" t="s">
        <v>101</v>
      </c>
      <c r="B10" s="190"/>
      <c r="C10" s="190"/>
      <c r="D10" s="190"/>
      <c r="E10" s="190"/>
      <c r="F10" s="190"/>
      <c r="G10" s="191"/>
      <c r="H10" s="191"/>
      <c r="I10" s="183"/>
      <c r="J10" s="182"/>
      <c r="K10" s="182"/>
      <c r="L10" s="182"/>
      <c r="M10" s="182"/>
      <c r="N10" s="182"/>
      <c r="O10" s="5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5.75" customHeight="1" x14ac:dyDescent="0.25">
      <c r="A11" s="192" t="s">
        <v>144</v>
      </c>
      <c r="B11" s="190"/>
      <c r="C11" s="190"/>
      <c r="D11" s="190"/>
      <c r="E11" s="190"/>
      <c r="F11" s="190"/>
      <c r="G11" s="191"/>
      <c r="H11" s="191"/>
      <c r="I11" s="183"/>
      <c r="J11" s="182"/>
      <c r="K11" s="182"/>
      <c r="L11" s="182"/>
      <c r="M11" s="182"/>
      <c r="N11" s="182"/>
      <c r="O11" s="52"/>
      <c r="P11" s="1"/>
      <c r="Q11" s="1"/>
      <c r="R11" s="34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5.75" customHeight="1" thickBot="1" x14ac:dyDescent="0.3">
      <c r="A12" s="185">
        <v>42037</v>
      </c>
      <c r="B12" s="186">
        <v>3833.17</v>
      </c>
      <c r="C12" s="186"/>
      <c r="D12" s="186"/>
      <c r="E12" s="186"/>
      <c r="F12" s="186">
        <v>76.66</v>
      </c>
      <c r="G12" s="187"/>
      <c r="H12" s="68"/>
      <c r="I12" s="188">
        <f>SUM(B12:H12)</f>
        <v>3909.83</v>
      </c>
      <c r="J12" s="189">
        <v>397.7</v>
      </c>
      <c r="K12" s="189">
        <v>172.02</v>
      </c>
      <c r="L12" s="189">
        <f>181.08+62.15+2.86</f>
        <v>246.09000000000003</v>
      </c>
      <c r="M12" s="189">
        <f>J12+K12+L12</f>
        <v>815.81000000000006</v>
      </c>
      <c r="N12" s="189">
        <f>I12-M12</f>
        <v>3094.02</v>
      </c>
      <c r="O12" s="5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4.25" customHeight="1" thickTop="1" x14ac:dyDescent="0.25">
      <c r="A13" s="174" t="s">
        <v>103</v>
      </c>
      <c r="B13" s="190"/>
      <c r="C13" s="190"/>
      <c r="D13" s="190"/>
      <c r="E13" s="190"/>
      <c r="F13" s="190"/>
      <c r="G13" s="191"/>
      <c r="H13" s="191"/>
      <c r="I13" s="183"/>
      <c r="J13" s="182"/>
      <c r="K13" s="182"/>
      <c r="L13" s="182"/>
      <c r="M13" s="182"/>
      <c r="N13" s="182"/>
      <c r="O13" s="5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4.25" customHeight="1" x14ac:dyDescent="0.25">
      <c r="A14" s="192" t="s">
        <v>104</v>
      </c>
      <c r="B14" s="190"/>
      <c r="C14" s="190"/>
      <c r="D14" s="190"/>
      <c r="E14" s="190"/>
      <c r="F14" s="190"/>
      <c r="G14" s="191"/>
      <c r="H14" s="191"/>
      <c r="I14" s="183"/>
      <c r="J14" s="182"/>
      <c r="K14" s="182"/>
      <c r="L14" s="182"/>
      <c r="M14" s="182"/>
      <c r="N14" s="182"/>
      <c r="O14" s="5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4.25" customHeight="1" thickBot="1" x14ac:dyDescent="0.3">
      <c r="A15" s="185">
        <v>41319</v>
      </c>
      <c r="B15" s="186">
        <v>3016.02</v>
      </c>
      <c r="C15" s="186"/>
      <c r="D15" s="186"/>
      <c r="E15" s="186">
        <f>4908.57+1636.19</f>
        <v>6544.76</v>
      </c>
      <c r="F15" s="186">
        <v>60.32</v>
      </c>
      <c r="G15" s="187">
        <v>1357.21</v>
      </c>
      <c r="H15" s="68"/>
      <c r="I15" s="188">
        <f>SUM(B15:H15)</f>
        <v>10978.310000000001</v>
      </c>
      <c r="J15" s="189">
        <f>48.84+762.94</f>
        <v>811.78000000000009</v>
      </c>
      <c r="K15" s="189">
        <f>222.46+1590</f>
        <v>1812.46</v>
      </c>
      <c r="L15" s="189">
        <f>195.12+732.15+88.71+62.15+0.78</f>
        <v>1078.9100000000001</v>
      </c>
      <c r="M15" s="189">
        <f>J15+K15+L15</f>
        <v>3703.1500000000005</v>
      </c>
      <c r="N15" s="189">
        <f>I15-M15</f>
        <v>7275.1600000000008</v>
      </c>
      <c r="O15" s="5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4.25" customHeight="1" thickTop="1" x14ac:dyDescent="0.25">
      <c r="A16" s="174" t="s">
        <v>105</v>
      </c>
      <c r="B16" s="193"/>
      <c r="C16" s="193"/>
      <c r="D16" s="193"/>
      <c r="E16" s="193"/>
      <c r="F16" s="193"/>
      <c r="G16" s="194"/>
      <c r="H16" s="72"/>
      <c r="I16" s="195"/>
      <c r="J16" s="196"/>
      <c r="K16" s="196"/>
      <c r="L16" s="196"/>
      <c r="M16" s="196"/>
      <c r="N16" s="196"/>
      <c r="O16" s="5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4.25" customHeight="1" x14ac:dyDescent="0.25">
      <c r="A17" s="197" t="s">
        <v>106</v>
      </c>
      <c r="B17" s="193"/>
      <c r="C17" s="193"/>
      <c r="D17" s="193"/>
      <c r="E17" s="193"/>
      <c r="F17" s="193"/>
      <c r="G17" s="194"/>
      <c r="H17" s="72"/>
      <c r="I17" s="195"/>
      <c r="J17" s="196"/>
      <c r="K17" s="196"/>
      <c r="L17" s="196"/>
      <c r="M17" s="196"/>
      <c r="N17" s="196"/>
      <c r="O17" s="52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5.75" customHeight="1" thickBot="1" x14ac:dyDescent="0.3">
      <c r="A18" s="198">
        <v>44522</v>
      </c>
      <c r="B18" s="189">
        <v>3348.04</v>
      </c>
      <c r="C18" s="189"/>
      <c r="D18" s="189"/>
      <c r="E18" s="189"/>
      <c r="F18" s="189"/>
      <c r="G18" s="188"/>
      <c r="H18" s="74"/>
      <c r="I18" s="188">
        <f>SUM(B18:H18)</f>
        <v>3348.04</v>
      </c>
      <c r="J18" s="189">
        <v>319.39999999999998</v>
      </c>
      <c r="K18" s="189">
        <v>71.06</v>
      </c>
      <c r="L18" s="189">
        <f>129.12+198.63+62.15+2.86</f>
        <v>392.76</v>
      </c>
      <c r="M18" s="189">
        <f>J18+K18+L18</f>
        <v>783.22</v>
      </c>
      <c r="N18" s="189">
        <f>I18-M18</f>
        <v>2564.8199999999997</v>
      </c>
      <c r="O18" s="5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.75" customHeight="1" thickTop="1" x14ac:dyDescent="0.25">
      <c r="A19" s="199" t="s">
        <v>145</v>
      </c>
      <c r="B19" s="182"/>
      <c r="C19" s="182"/>
      <c r="D19" s="182"/>
      <c r="E19" s="182"/>
      <c r="F19" s="182"/>
      <c r="G19" s="183"/>
      <c r="H19" s="183"/>
      <c r="I19" s="183"/>
      <c r="J19" s="182"/>
      <c r="K19" s="182"/>
      <c r="L19" s="182"/>
      <c r="M19" s="182"/>
      <c r="N19" s="182"/>
      <c r="O19" s="52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5.75" customHeight="1" x14ac:dyDescent="0.25">
      <c r="A20" s="192" t="s">
        <v>146</v>
      </c>
      <c r="B20" s="182"/>
      <c r="C20" s="182"/>
      <c r="D20" s="182"/>
      <c r="E20" s="182"/>
      <c r="F20" s="182"/>
      <c r="G20" s="183"/>
      <c r="H20" s="183"/>
      <c r="I20" s="183"/>
      <c r="J20" s="182"/>
      <c r="K20" s="182"/>
      <c r="L20" s="182"/>
      <c r="M20" s="182"/>
      <c r="N20" s="182"/>
      <c r="O20" s="52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5.75" customHeight="1" thickBot="1" x14ac:dyDescent="0.3">
      <c r="A21" s="198">
        <v>44608</v>
      </c>
      <c r="B21" s="189">
        <v>3741.94</v>
      </c>
      <c r="C21" s="189"/>
      <c r="D21" s="189"/>
      <c r="E21" s="189"/>
      <c r="F21" s="189"/>
      <c r="G21" s="188"/>
      <c r="H21" s="74"/>
      <c r="I21" s="188">
        <f>SUM(B21:H21)</f>
        <v>3741.94</v>
      </c>
      <c r="J21" s="189">
        <v>373.16</v>
      </c>
      <c r="K21" s="59">
        <v>150.52000000000001</v>
      </c>
      <c r="L21" s="189">
        <f>62.15+2.73</f>
        <v>64.88</v>
      </c>
      <c r="M21" s="189">
        <f>SUM(J21:L21)</f>
        <v>588.56000000000006</v>
      </c>
      <c r="N21" s="189">
        <f>I21-M21</f>
        <v>3153.38</v>
      </c>
      <c r="O21" s="52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5.75" customHeight="1" thickTop="1" x14ac:dyDescent="0.25">
      <c r="A22" s="199" t="s">
        <v>166</v>
      </c>
      <c r="B22" s="182"/>
      <c r="C22" s="182"/>
      <c r="D22" s="182"/>
      <c r="E22" s="182"/>
      <c r="F22" s="182"/>
      <c r="G22" s="183"/>
      <c r="H22" s="183"/>
      <c r="I22" s="183"/>
      <c r="J22" s="182"/>
      <c r="K22" s="182"/>
      <c r="L22" s="182"/>
      <c r="M22" s="182"/>
      <c r="N22" s="182"/>
      <c r="O22" s="52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5.75" customHeight="1" x14ac:dyDescent="0.25">
      <c r="A23" s="192" t="s">
        <v>110</v>
      </c>
      <c r="B23" s="182"/>
      <c r="C23" s="182"/>
      <c r="D23" s="182"/>
      <c r="E23" s="182"/>
      <c r="F23" s="182"/>
      <c r="G23" s="183"/>
      <c r="H23" s="183"/>
      <c r="I23" s="183"/>
      <c r="J23" s="182"/>
      <c r="K23" s="182"/>
      <c r="L23" s="182"/>
      <c r="M23" s="182"/>
      <c r="N23" s="182"/>
      <c r="O23" s="5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5.75" customHeight="1" thickBot="1" x14ac:dyDescent="0.3">
      <c r="A24" s="198">
        <v>43739</v>
      </c>
      <c r="B24" s="189">
        <v>2964.74</v>
      </c>
      <c r="C24" s="189"/>
      <c r="D24" s="189"/>
      <c r="E24" s="189">
        <f>649.41+216.47</f>
        <v>865.88</v>
      </c>
      <c r="F24" s="189"/>
      <c r="G24" s="188"/>
      <c r="H24" s="74"/>
      <c r="I24" s="188">
        <f>SUM(B24:H24)</f>
        <v>3830.62</v>
      </c>
      <c r="J24" s="189">
        <f>320.03+64.95</f>
        <v>384.97999999999996</v>
      </c>
      <c r="K24" s="59">
        <v>27.11</v>
      </c>
      <c r="L24" s="189">
        <f>105.34+59.14+62.15+1.43</f>
        <v>228.06000000000003</v>
      </c>
      <c r="M24" s="189">
        <f>SUM(J24:L24)</f>
        <v>640.15</v>
      </c>
      <c r="N24" s="189">
        <f>I24-M24</f>
        <v>3190.47</v>
      </c>
      <c r="O24" s="52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4.25" customHeight="1" thickTop="1" x14ac:dyDescent="0.25">
      <c r="A25" s="174" t="s">
        <v>111</v>
      </c>
      <c r="B25" s="182"/>
      <c r="C25" s="182"/>
      <c r="D25" s="182"/>
      <c r="E25" s="182"/>
      <c r="F25" s="182"/>
      <c r="G25" s="183"/>
      <c r="H25" s="183"/>
      <c r="I25" s="183"/>
      <c r="J25" s="182"/>
      <c r="K25" s="182"/>
      <c r="L25" s="182"/>
      <c r="M25" s="182"/>
      <c r="N25" s="182"/>
      <c r="O25" s="52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4.25" customHeight="1" x14ac:dyDescent="0.25">
      <c r="A26" s="184" t="s">
        <v>100</v>
      </c>
      <c r="B26" s="182"/>
      <c r="C26" s="182"/>
      <c r="D26" s="182"/>
      <c r="E26" s="182"/>
      <c r="F26" s="182"/>
      <c r="G26" s="183"/>
      <c r="H26" s="183"/>
      <c r="I26" s="183"/>
      <c r="J26" s="182"/>
      <c r="K26" s="182"/>
      <c r="L26" s="182"/>
      <c r="M26" s="182"/>
      <c r="N26" s="182"/>
      <c r="O26" s="52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4.25" customHeight="1" thickBot="1" x14ac:dyDescent="0.3">
      <c r="A27" s="185">
        <v>43648</v>
      </c>
      <c r="B27" s="186">
        <v>1799.32</v>
      </c>
      <c r="C27" s="186"/>
      <c r="D27" s="186"/>
      <c r="E27" s="186"/>
      <c r="F27" s="186"/>
      <c r="G27" s="187"/>
      <c r="H27" s="68"/>
      <c r="I27" s="188">
        <f>SUM(B27:H27)</f>
        <v>1799.32</v>
      </c>
      <c r="J27" s="189">
        <v>144.97</v>
      </c>
      <c r="K27" s="189"/>
      <c r="L27" s="189">
        <f>62.15+2.86</f>
        <v>65.010000000000005</v>
      </c>
      <c r="M27" s="189">
        <f>SUM(J27:L27)</f>
        <v>209.98000000000002</v>
      </c>
      <c r="N27" s="189">
        <f>I27-M27</f>
        <v>1589.34</v>
      </c>
      <c r="O27" s="52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4.25" customHeight="1" thickTop="1" x14ac:dyDescent="0.25">
      <c r="A28" s="174" t="s">
        <v>112</v>
      </c>
      <c r="B28" s="182"/>
      <c r="C28" s="182"/>
      <c r="D28" s="182"/>
      <c r="E28" s="182"/>
      <c r="F28" s="182"/>
      <c r="G28" s="183"/>
      <c r="H28" s="183"/>
      <c r="I28" s="183"/>
      <c r="J28" s="182"/>
      <c r="K28" s="182"/>
      <c r="L28" s="182"/>
      <c r="M28" s="182"/>
      <c r="N28" s="182"/>
      <c r="O28" s="52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4.25" customHeight="1" x14ac:dyDescent="0.25">
      <c r="A29" s="184" t="s">
        <v>113</v>
      </c>
      <c r="B29" s="182"/>
      <c r="C29" s="182"/>
      <c r="D29" s="182"/>
      <c r="E29" s="182"/>
      <c r="F29" s="182"/>
      <c r="G29" s="183"/>
      <c r="H29" s="183"/>
      <c r="I29" s="183"/>
      <c r="J29" s="182"/>
      <c r="K29" s="182"/>
      <c r="L29" s="182"/>
      <c r="M29" s="182"/>
      <c r="N29" s="182"/>
      <c r="O29" s="52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4.25" customHeight="1" thickBot="1" x14ac:dyDescent="0.3">
      <c r="A30" s="185">
        <v>44580</v>
      </c>
      <c r="B30" s="186">
        <f>1154.5+2424.44</f>
        <v>3578.94</v>
      </c>
      <c r="C30" s="186"/>
      <c r="D30" s="186"/>
      <c r="E30" s="186"/>
      <c r="F30" s="186"/>
      <c r="G30" s="187"/>
      <c r="H30" s="68"/>
      <c r="I30" s="188">
        <f>SUM(B30:H30)</f>
        <v>3578.94</v>
      </c>
      <c r="J30" s="189">
        <v>332.79</v>
      </c>
      <c r="K30" s="189">
        <v>58</v>
      </c>
      <c r="L30" s="189">
        <f>105.34+35.79+88.71+62.15</f>
        <v>291.98999999999995</v>
      </c>
      <c r="M30" s="189">
        <f>SUM(J30:L30)</f>
        <v>682.78</v>
      </c>
      <c r="N30" s="189">
        <f>I30-M30</f>
        <v>2896.16</v>
      </c>
      <c r="O30" s="52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4.25" customHeight="1" thickTop="1" x14ac:dyDescent="0.25">
      <c r="A31" s="199" t="s">
        <v>114</v>
      </c>
      <c r="B31" s="200"/>
      <c r="C31" s="200"/>
      <c r="D31" s="200"/>
      <c r="E31" s="200"/>
      <c r="F31" s="200"/>
      <c r="G31" s="201"/>
      <c r="H31" s="201"/>
      <c r="I31" s="201"/>
      <c r="J31" s="200"/>
      <c r="K31" s="200"/>
      <c r="L31" s="200"/>
      <c r="M31" s="200"/>
      <c r="N31" s="200"/>
      <c r="O31" s="52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4.25" customHeight="1" x14ac:dyDescent="0.25">
      <c r="A32" s="192" t="s">
        <v>167</v>
      </c>
      <c r="B32" s="190"/>
      <c r="C32" s="190"/>
      <c r="D32" s="190"/>
      <c r="E32" s="190"/>
      <c r="F32" s="190"/>
      <c r="G32" s="191"/>
      <c r="H32" s="191"/>
      <c r="I32" s="183"/>
      <c r="J32" s="182"/>
      <c r="K32" s="182"/>
      <c r="L32" s="182"/>
      <c r="M32" s="182"/>
      <c r="N32" s="182"/>
      <c r="O32" s="5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4.25" customHeight="1" thickBot="1" x14ac:dyDescent="0.3">
      <c r="A33" s="185">
        <v>43325</v>
      </c>
      <c r="B33" s="186">
        <v>1925.27</v>
      </c>
      <c r="C33" s="186"/>
      <c r="D33" s="186"/>
      <c r="E33" s="186"/>
      <c r="F33" s="186"/>
      <c r="G33" s="187"/>
      <c r="H33" s="68"/>
      <c r="I33" s="188">
        <f>SUM(B33:H33)</f>
        <v>1925.27</v>
      </c>
      <c r="J33" s="59">
        <v>156.47999999999999</v>
      </c>
      <c r="K33" s="189"/>
      <c r="L33" s="59">
        <f>139.26+29.57+62.15+2.73</f>
        <v>233.70999999999998</v>
      </c>
      <c r="M33" s="189">
        <f>SUM(J33:L33)</f>
        <v>390.18999999999994</v>
      </c>
      <c r="N33" s="189">
        <f>I33-M33</f>
        <v>1535.08</v>
      </c>
      <c r="O33" s="5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4.25" customHeight="1" thickTop="1" x14ac:dyDescent="0.25">
      <c r="A34" s="174" t="s">
        <v>115</v>
      </c>
      <c r="B34" s="190"/>
      <c r="C34" s="190"/>
      <c r="D34" s="190"/>
      <c r="E34" s="190"/>
      <c r="F34" s="190"/>
      <c r="G34" s="191"/>
      <c r="H34" s="191"/>
      <c r="I34" s="183"/>
      <c r="J34" s="182"/>
      <c r="K34" s="182"/>
      <c r="L34" s="182"/>
      <c r="M34" s="182"/>
      <c r="N34" s="182"/>
      <c r="O34" s="5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4.25" customHeight="1" x14ac:dyDescent="0.25">
      <c r="A35" s="184" t="s">
        <v>161</v>
      </c>
      <c r="B35" s="190"/>
      <c r="C35" s="190"/>
      <c r="D35" s="190"/>
      <c r="E35" s="190"/>
      <c r="F35" s="190"/>
      <c r="G35" s="191"/>
      <c r="H35" s="191"/>
      <c r="I35" s="183"/>
      <c r="J35" s="182"/>
      <c r="K35" s="182"/>
      <c r="L35" s="182"/>
      <c r="M35" s="182"/>
      <c r="N35" s="182"/>
      <c r="O35" s="5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4.25" customHeight="1" thickBot="1" x14ac:dyDescent="0.3">
      <c r="A36" s="185">
        <v>43325</v>
      </c>
      <c r="B36" s="186">
        <v>1925.27</v>
      </c>
      <c r="C36" s="186"/>
      <c r="D36" s="186"/>
      <c r="E36" s="186"/>
      <c r="F36" s="186"/>
      <c r="G36" s="187">
        <v>28.88</v>
      </c>
      <c r="H36" s="68"/>
      <c r="I36" s="188">
        <f>SUM(B36:H36)</f>
        <v>1954.15</v>
      </c>
      <c r="J36" s="189">
        <v>159.58000000000001</v>
      </c>
      <c r="K36" s="189"/>
      <c r="L36" s="189">
        <f>122.85+20.58+62.15+2.86</f>
        <v>208.44000000000003</v>
      </c>
      <c r="M36" s="189">
        <f>J36+K36+L36</f>
        <v>368.02000000000004</v>
      </c>
      <c r="N36" s="189">
        <f>I36-M36</f>
        <v>1586.13</v>
      </c>
      <c r="O36" s="5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4.25" customHeight="1" thickTop="1" x14ac:dyDescent="0.25">
      <c r="A37" s="174" t="s">
        <v>117</v>
      </c>
      <c r="B37" s="182"/>
      <c r="C37" s="182"/>
      <c r="D37" s="182"/>
      <c r="E37" s="182"/>
      <c r="F37" s="182"/>
      <c r="G37" s="183"/>
      <c r="H37" s="183"/>
      <c r="I37" s="183"/>
      <c r="J37" s="182"/>
      <c r="K37" s="182"/>
      <c r="L37" s="182"/>
      <c r="M37" s="182"/>
      <c r="N37" s="182"/>
      <c r="O37" s="5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4.25" customHeight="1" x14ac:dyDescent="0.25">
      <c r="A38" s="192" t="s">
        <v>100</v>
      </c>
      <c r="B38" s="182"/>
      <c r="C38" s="182"/>
      <c r="D38" s="182"/>
      <c r="E38" s="182"/>
      <c r="F38" s="182"/>
      <c r="G38" s="183"/>
      <c r="H38" s="183"/>
      <c r="I38" s="183"/>
      <c r="J38" s="182"/>
      <c r="K38" s="182"/>
      <c r="L38" s="182"/>
      <c r="M38" s="182"/>
      <c r="N38" s="182"/>
      <c r="O38" s="5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4.25" customHeight="1" thickBot="1" x14ac:dyDescent="0.3">
      <c r="A39" s="202">
        <v>43479</v>
      </c>
      <c r="B39" s="189">
        <v>1925.27</v>
      </c>
      <c r="C39" s="189"/>
      <c r="D39" s="189"/>
      <c r="E39" s="189"/>
      <c r="F39" s="189"/>
      <c r="G39" s="188"/>
      <c r="H39" s="74"/>
      <c r="I39" s="188">
        <f>SUM(B39:H39)</f>
        <v>1925.27</v>
      </c>
      <c r="J39" s="189">
        <v>156.38</v>
      </c>
      <c r="K39" s="189"/>
      <c r="L39" s="189">
        <f>138.34+20.58+62.15+2.86</f>
        <v>223.93000000000004</v>
      </c>
      <c r="M39" s="189">
        <f>J39+K39+L39</f>
        <v>380.31000000000006</v>
      </c>
      <c r="N39" s="189">
        <f>I39-M39</f>
        <v>1544.96</v>
      </c>
      <c r="O39" s="5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4.25" customHeight="1" thickTop="1" x14ac:dyDescent="0.25">
      <c r="A40" s="174" t="s">
        <v>118</v>
      </c>
      <c r="B40" s="196"/>
      <c r="C40" s="196"/>
      <c r="D40" s="196"/>
      <c r="E40" s="196"/>
      <c r="F40" s="196"/>
      <c r="G40" s="195"/>
      <c r="H40" s="103"/>
      <c r="I40" s="195"/>
      <c r="J40" s="196"/>
      <c r="K40" s="196"/>
      <c r="L40" s="196"/>
      <c r="M40" s="196"/>
      <c r="N40" s="196"/>
      <c r="O40" s="5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4.25" customHeight="1" x14ac:dyDescent="0.25">
      <c r="A41" s="192" t="s">
        <v>119</v>
      </c>
      <c r="B41" s="182"/>
      <c r="C41" s="182"/>
      <c r="D41" s="182"/>
      <c r="E41" s="182"/>
      <c r="F41" s="182"/>
      <c r="G41" s="183"/>
      <c r="H41" s="183"/>
      <c r="I41" s="183"/>
      <c r="J41" s="182"/>
      <c r="K41" s="182"/>
      <c r="L41" s="182"/>
      <c r="M41" s="182"/>
      <c r="N41" s="182"/>
      <c r="O41" s="5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4.25" customHeight="1" thickBot="1" x14ac:dyDescent="0.3">
      <c r="A42" s="202">
        <v>44341</v>
      </c>
      <c r="B42" s="189">
        <v>1797.58</v>
      </c>
      <c r="C42" s="189"/>
      <c r="D42" s="189"/>
      <c r="E42" s="189"/>
      <c r="F42" s="189"/>
      <c r="G42" s="188"/>
      <c r="H42" s="74"/>
      <c r="I42" s="188">
        <f>SUM(B42:H42)</f>
        <v>1797.58</v>
      </c>
      <c r="J42" s="189">
        <v>142.25</v>
      </c>
      <c r="K42" s="189"/>
      <c r="L42" s="189">
        <f>147.85+700.96+62.15+2.86</f>
        <v>913.82</v>
      </c>
      <c r="M42" s="189">
        <f>J42+K42+L42</f>
        <v>1056.0700000000002</v>
      </c>
      <c r="N42" s="189">
        <f>I42-M42</f>
        <v>741.50999999999976</v>
      </c>
      <c r="O42" s="5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s="173" customFormat="1" ht="15.75" customHeight="1" thickTop="1" x14ac:dyDescent="0.25">
      <c r="A43" s="174" t="s">
        <v>128</v>
      </c>
      <c r="B43" s="190"/>
      <c r="C43" s="190"/>
      <c r="D43" s="190"/>
      <c r="E43" s="190"/>
      <c r="F43" s="190"/>
      <c r="G43" s="191"/>
      <c r="H43" s="191"/>
      <c r="I43" s="183"/>
      <c r="J43" s="182"/>
      <c r="K43" s="182"/>
      <c r="L43" s="182"/>
      <c r="M43" s="182"/>
      <c r="N43" s="182"/>
      <c r="O43" s="171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</row>
    <row r="44" spans="1:34" ht="15.75" customHeight="1" x14ac:dyDescent="0.25">
      <c r="A44" s="184" t="s">
        <v>161</v>
      </c>
      <c r="B44" s="190"/>
      <c r="C44" s="190"/>
      <c r="D44" s="190"/>
      <c r="E44" s="190"/>
      <c r="F44" s="190"/>
      <c r="G44" s="191"/>
      <c r="H44" s="191"/>
      <c r="I44" s="183"/>
      <c r="J44" s="182"/>
      <c r="K44" s="182"/>
      <c r="L44" s="182"/>
      <c r="M44" s="182"/>
      <c r="N44" s="182"/>
      <c r="O44" s="5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5.75" customHeight="1" thickBot="1" x14ac:dyDescent="0.3">
      <c r="A45" s="185">
        <v>43325</v>
      </c>
      <c r="B45" s="186">
        <v>1925.27</v>
      </c>
      <c r="C45" s="186"/>
      <c r="D45" s="186"/>
      <c r="E45" s="186"/>
      <c r="F45" s="186"/>
      <c r="G45" s="187">
        <v>866.37</v>
      </c>
      <c r="H45" s="68"/>
      <c r="I45" s="188">
        <f>SUM(B45:H45)</f>
        <v>2791.64</v>
      </c>
      <c r="J45" s="189">
        <v>250.26</v>
      </c>
      <c r="K45" s="189">
        <v>47.8</v>
      </c>
      <c r="L45" s="189">
        <f>205.49+20.58+62.15+2.86</f>
        <v>291.08</v>
      </c>
      <c r="M45" s="189">
        <f>J45+K45+L45</f>
        <v>589.14</v>
      </c>
      <c r="N45" s="189">
        <f>I45-M45</f>
        <v>2202.5</v>
      </c>
      <c r="O45" s="5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5.75" customHeight="1" thickTop="1" x14ac:dyDescent="0.25">
      <c r="A46" s="197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5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5.75" customHeight="1" x14ac:dyDescent="0.25">
      <c r="A47" s="197"/>
      <c r="B47" s="193"/>
      <c r="C47" s="193"/>
      <c r="D47" s="193"/>
      <c r="E47" s="193"/>
      <c r="F47" s="193"/>
      <c r="G47" s="194"/>
      <c r="H47" s="72"/>
      <c r="I47" s="195"/>
      <c r="J47" s="196"/>
      <c r="K47" s="196"/>
      <c r="L47" s="196"/>
      <c r="M47" s="196"/>
      <c r="N47" s="196"/>
      <c r="O47" s="5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5.75" customHeight="1" x14ac:dyDescent="0.25">
      <c r="A48" s="197"/>
      <c r="B48" s="193"/>
      <c r="C48" s="193"/>
      <c r="D48" s="193"/>
      <c r="E48" s="193"/>
      <c r="F48" s="193"/>
      <c r="G48" s="194"/>
      <c r="H48" s="72"/>
      <c r="I48" s="195"/>
      <c r="J48" s="196"/>
      <c r="K48" s="196"/>
      <c r="L48" s="196"/>
      <c r="M48" s="196"/>
      <c r="N48" s="196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4.25" customHeight="1" x14ac:dyDescent="0.25">
      <c r="A49" s="203"/>
      <c r="B49" s="196"/>
      <c r="C49" s="196"/>
      <c r="D49" s="196"/>
      <c r="E49" s="196"/>
      <c r="F49" s="196"/>
      <c r="G49" s="195"/>
      <c r="H49" s="103"/>
      <c r="I49" s="195"/>
      <c r="J49" s="196"/>
      <c r="K49" s="196"/>
      <c r="L49" s="196"/>
      <c r="M49" s="196"/>
      <c r="N49" s="196"/>
      <c r="O49" s="5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5.75" customHeight="1" x14ac:dyDescent="0.25">
      <c r="A50" s="273" t="s">
        <v>159</v>
      </c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5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5.75" customHeight="1" thickBot="1" x14ac:dyDescent="0.3">
      <c r="A51" s="109" t="s">
        <v>91</v>
      </c>
      <c r="B51" s="175">
        <v>2023</v>
      </c>
      <c r="C51" s="175"/>
      <c r="D51" s="175"/>
      <c r="E51" s="204"/>
      <c r="F51" s="204"/>
      <c r="G51" s="205"/>
      <c r="H51" s="205"/>
      <c r="I51" s="205"/>
      <c r="J51" s="204"/>
      <c r="K51" s="204"/>
      <c r="L51" s="204"/>
      <c r="M51" s="204"/>
      <c r="N51" s="204"/>
      <c r="O51" s="5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5.75" customHeight="1" x14ac:dyDescent="0.25">
      <c r="A52" s="178" t="s">
        <v>2</v>
      </c>
      <c r="B52" s="274" t="s">
        <v>3</v>
      </c>
      <c r="C52" s="274" t="s">
        <v>164</v>
      </c>
      <c r="D52" s="274" t="s">
        <v>165</v>
      </c>
      <c r="E52" s="274" t="s">
        <v>92</v>
      </c>
      <c r="F52" s="268" t="s">
        <v>93</v>
      </c>
      <c r="G52" s="275" t="s">
        <v>8</v>
      </c>
      <c r="H52" s="277" t="s">
        <v>94</v>
      </c>
      <c r="I52" s="277" t="s">
        <v>9</v>
      </c>
      <c r="J52" s="274" t="s">
        <v>11</v>
      </c>
      <c r="K52" s="274" t="s">
        <v>95</v>
      </c>
      <c r="L52" s="268" t="s">
        <v>12</v>
      </c>
      <c r="M52" s="268" t="s">
        <v>13</v>
      </c>
      <c r="N52" s="268" t="s">
        <v>14</v>
      </c>
      <c r="O52" s="5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5.75" customHeight="1" x14ac:dyDescent="0.25">
      <c r="A53" s="179" t="s">
        <v>15</v>
      </c>
      <c r="B53" s="269"/>
      <c r="C53" s="269"/>
      <c r="D53" s="269"/>
      <c r="E53" s="269"/>
      <c r="F53" s="269"/>
      <c r="G53" s="275"/>
      <c r="H53" s="269"/>
      <c r="I53" s="269"/>
      <c r="J53" s="269"/>
      <c r="K53" s="269"/>
      <c r="L53" s="269"/>
      <c r="M53" s="269"/>
      <c r="N53" s="269"/>
      <c r="O53" s="5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5.75" customHeight="1" x14ac:dyDescent="0.25">
      <c r="A54" s="222" t="s">
        <v>16</v>
      </c>
      <c r="B54" s="270"/>
      <c r="C54" s="270"/>
      <c r="D54" s="270"/>
      <c r="E54" s="270"/>
      <c r="F54" s="270"/>
      <c r="G54" s="276"/>
      <c r="H54" s="270"/>
      <c r="I54" s="270"/>
      <c r="J54" s="270"/>
      <c r="K54" s="270"/>
      <c r="L54" s="270"/>
      <c r="M54" s="270"/>
      <c r="N54" s="270"/>
      <c r="O54" s="52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5.75" customHeight="1" thickBot="1" x14ac:dyDescent="0.3">
      <c r="A55" s="223" t="s">
        <v>120</v>
      </c>
      <c r="B55" s="278"/>
      <c r="C55" s="278"/>
      <c r="D55" s="278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52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5.75" customHeight="1" thickTop="1" x14ac:dyDescent="0.25">
      <c r="A56" s="174" t="s">
        <v>121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52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5.75" customHeight="1" x14ac:dyDescent="0.25">
      <c r="A57" s="197" t="s">
        <v>122</v>
      </c>
      <c r="B57" s="193"/>
      <c r="C57" s="193"/>
      <c r="D57" s="193"/>
      <c r="E57" s="193"/>
      <c r="F57" s="193"/>
      <c r="G57" s="194"/>
      <c r="H57" s="194"/>
      <c r="I57" s="195"/>
      <c r="J57" s="196"/>
      <c r="K57" s="196"/>
      <c r="L57" s="196"/>
      <c r="M57" s="196"/>
      <c r="N57" s="196"/>
      <c r="O57" s="52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5.75" customHeight="1" thickBot="1" x14ac:dyDescent="0.3">
      <c r="A58" s="50">
        <v>38054</v>
      </c>
      <c r="B58" s="186">
        <v>2700.29</v>
      </c>
      <c r="C58" s="186"/>
      <c r="D58" s="186"/>
      <c r="E58" s="186"/>
      <c r="F58" s="186">
        <v>54</v>
      </c>
      <c r="G58" s="187">
        <v>1215.1400000000001</v>
      </c>
      <c r="H58" s="187"/>
      <c r="I58" s="188">
        <f>SUM(B58:H58)</f>
        <v>3969.4300000000003</v>
      </c>
      <c r="J58" s="189">
        <v>406.42</v>
      </c>
      <c r="K58" s="189">
        <v>179.65</v>
      </c>
      <c r="L58" s="189">
        <f>148.08+62.15+2.47</f>
        <v>212.70000000000002</v>
      </c>
      <c r="M58" s="189">
        <f>J58+K58+L58</f>
        <v>798.7700000000001</v>
      </c>
      <c r="N58" s="189">
        <f>I58-M58</f>
        <v>3170.6600000000003</v>
      </c>
      <c r="O58" s="52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5.75" customHeight="1" thickTop="1" x14ac:dyDescent="0.25">
      <c r="A59" s="174" t="s">
        <v>123</v>
      </c>
      <c r="B59" s="193"/>
      <c r="C59" s="193"/>
      <c r="D59" s="193"/>
      <c r="E59" s="193"/>
      <c r="F59" s="193"/>
      <c r="G59" s="194"/>
      <c r="H59" s="194"/>
      <c r="I59" s="195"/>
      <c r="J59" s="196"/>
      <c r="K59" s="196"/>
      <c r="L59" s="196"/>
      <c r="M59" s="196"/>
      <c r="N59" s="196"/>
      <c r="O59" s="52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5.75" customHeight="1" x14ac:dyDescent="0.25">
      <c r="A60" s="197" t="s">
        <v>108</v>
      </c>
      <c r="B60" s="193"/>
      <c r="C60" s="193"/>
      <c r="D60" s="193"/>
      <c r="E60" s="193"/>
      <c r="F60" s="193"/>
      <c r="G60" s="194"/>
      <c r="H60" s="194"/>
      <c r="I60" s="195"/>
      <c r="J60" s="196"/>
      <c r="K60" s="196"/>
      <c r="L60" s="196"/>
      <c r="M60" s="196"/>
      <c r="N60" s="196"/>
      <c r="O60" s="52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5.75" customHeight="1" thickBot="1" x14ac:dyDescent="0.3">
      <c r="A61" s="50">
        <v>44319</v>
      </c>
      <c r="B61" s="186">
        <v>1681.61</v>
      </c>
      <c r="C61" s="186"/>
      <c r="D61" s="186"/>
      <c r="E61" s="186"/>
      <c r="F61" s="186"/>
      <c r="G61" s="187"/>
      <c r="H61" s="187"/>
      <c r="I61" s="188">
        <f>SUM(B61:H61)</f>
        <v>1681.61</v>
      </c>
      <c r="J61" s="189">
        <v>134.21</v>
      </c>
      <c r="K61" s="189"/>
      <c r="L61" s="189">
        <f>178.38+62.15+2.73</f>
        <v>243.26</v>
      </c>
      <c r="M61" s="189">
        <f>J61+K61+L61</f>
        <v>377.47</v>
      </c>
      <c r="N61" s="189">
        <f>I61-M61</f>
        <v>1304.1399999999999</v>
      </c>
      <c r="O61" s="52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5.75" customHeight="1" thickTop="1" x14ac:dyDescent="0.25">
      <c r="A62" s="174" t="s">
        <v>124</v>
      </c>
      <c r="B62" s="193"/>
      <c r="C62" s="193"/>
      <c r="D62" s="193"/>
      <c r="E62" s="193"/>
      <c r="F62" s="193"/>
      <c r="G62" s="194"/>
      <c r="H62" s="194"/>
      <c r="I62" s="195"/>
      <c r="J62" s="196"/>
      <c r="K62" s="196"/>
      <c r="L62" s="196"/>
      <c r="M62" s="196"/>
      <c r="N62" s="196"/>
      <c r="O62" s="52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5.75" customHeight="1" x14ac:dyDescent="0.25">
      <c r="A63" s="197" t="s">
        <v>116</v>
      </c>
      <c r="B63" s="193"/>
      <c r="C63" s="193"/>
      <c r="D63" s="193"/>
      <c r="E63" s="193"/>
      <c r="F63" s="193"/>
      <c r="G63" s="194"/>
      <c r="H63" s="194"/>
      <c r="I63" s="195"/>
      <c r="J63" s="196"/>
      <c r="K63" s="196"/>
      <c r="L63" s="196"/>
      <c r="M63" s="196"/>
      <c r="N63" s="196"/>
      <c r="O63" s="5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5.75" customHeight="1" thickBot="1" x14ac:dyDescent="0.3">
      <c r="A64" s="50">
        <v>43845</v>
      </c>
      <c r="B64" s="186">
        <v>1799.32</v>
      </c>
      <c r="C64" s="186"/>
      <c r="D64" s="186"/>
      <c r="E64" s="186"/>
      <c r="F64" s="186"/>
      <c r="G64" s="187"/>
      <c r="H64" s="187"/>
      <c r="I64" s="188">
        <f>SUM(B64:H64)</f>
        <v>1799.32</v>
      </c>
      <c r="J64" s="189">
        <v>144.97</v>
      </c>
      <c r="K64" s="189"/>
      <c r="L64" s="189">
        <f>193.78+19.23+62.15+2.73</f>
        <v>277.89</v>
      </c>
      <c r="M64" s="189">
        <f>J64+K64+L64</f>
        <v>422.86</v>
      </c>
      <c r="N64" s="189">
        <f>I64-M64</f>
        <v>1376.46</v>
      </c>
      <c r="O64" s="52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5.75" customHeight="1" thickTop="1" x14ac:dyDescent="0.25">
      <c r="A65" s="174" t="s">
        <v>125</v>
      </c>
      <c r="B65" s="193"/>
      <c r="C65" s="193"/>
      <c r="D65" s="193"/>
      <c r="E65" s="193"/>
      <c r="F65" s="193"/>
      <c r="G65" s="194"/>
      <c r="H65" s="194"/>
      <c r="I65" s="195"/>
      <c r="J65" s="196"/>
      <c r="K65" s="196"/>
      <c r="L65" s="196"/>
      <c r="M65" s="196"/>
      <c r="N65" s="196"/>
      <c r="O65" s="52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5.75" customHeight="1" x14ac:dyDescent="0.25">
      <c r="A66" s="197" t="s">
        <v>126</v>
      </c>
      <c r="B66" s="193"/>
      <c r="C66" s="193"/>
      <c r="D66" s="193"/>
      <c r="E66" s="193"/>
      <c r="F66" s="193"/>
      <c r="G66" s="194"/>
      <c r="H66" s="194"/>
      <c r="I66" s="195"/>
      <c r="J66" s="196"/>
      <c r="K66" s="196"/>
      <c r="L66" s="196"/>
      <c r="M66" s="196"/>
      <c r="N66" s="196"/>
      <c r="O66" s="52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5.75" customHeight="1" thickBot="1" x14ac:dyDescent="0.3">
      <c r="A67" s="50">
        <v>39783</v>
      </c>
      <c r="B67" s="186">
        <v>2700.29</v>
      </c>
      <c r="C67" s="186"/>
      <c r="D67" s="186"/>
      <c r="E67" s="186"/>
      <c r="F67" s="186">
        <v>54</v>
      </c>
      <c r="G67" s="187">
        <v>1215.1300000000001</v>
      </c>
      <c r="H67" s="187"/>
      <c r="I67" s="188">
        <f>SUM(B67:H67)</f>
        <v>3969.42</v>
      </c>
      <c r="J67" s="189">
        <v>406.42</v>
      </c>
      <c r="K67" s="189">
        <v>94.33</v>
      </c>
      <c r="L67" s="189">
        <f>151.49+463.4+88.71+62.15+2.73</f>
        <v>768.48</v>
      </c>
      <c r="M67" s="189">
        <f>J67+K67+L67</f>
        <v>1269.23</v>
      </c>
      <c r="N67" s="189">
        <f>I67-M67</f>
        <v>2700.19</v>
      </c>
      <c r="O67" s="52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5.75" customHeight="1" thickTop="1" x14ac:dyDescent="0.25">
      <c r="A68" s="199" t="s">
        <v>127</v>
      </c>
      <c r="B68" s="190"/>
      <c r="C68" s="190"/>
      <c r="D68" s="190"/>
      <c r="E68" s="208"/>
      <c r="F68" s="208"/>
      <c r="G68" s="209"/>
      <c r="H68" s="210"/>
      <c r="I68" s="211"/>
      <c r="J68" s="212"/>
      <c r="K68" s="212"/>
      <c r="L68" s="212"/>
      <c r="M68" s="212"/>
      <c r="N68" s="212"/>
      <c r="O68" s="52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5.75" customHeight="1" x14ac:dyDescent="0.25">
      <c r="A69" s="192" t="s">
        <v>161</v>
      </c>
      <c r="B69" s="190"/>
      <c r="C69" s="190"/>
      <c r="D69" s="190"/>
      <c r="E69" s="208"/>
      <c r="F69" s="208"/>
      <c r="G69" s="209"/>
      <c r="H69" s="210"/>
      <c r="I69" s="211"/>
      <c r="J69" s="212"/>
      <c r="K69" s="212"/>
      <c r="L69" s="212"/>
      <c r="M69" s="212"/>
      <c r="N69" s="212"/>
      <c r="O69" s="52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5.75" customHeight="1" thickBot="1" x14ac:dyDescent="0.3">
      <c r="A70" s="50">
        <v>43325</v>
      </c>
      <c r="B70" s="186">
        <v>1925.27</v>
      </c>
      <c r="C70" s="186"/>
      <c r="D70" s="186"/>
      <c r="E70" s="186"/>
      <c r="F70" s="186"/>
      <c r="G70" s="187"/>
      <c r="H70" s="187"/>
      <c r="I70" s="188">
        <f>SUM(B70:H70)</f>
        <v>1925.27</v>
      </c>
      <c r="J70" s="189">
        <v>156.97999999999999</v>
      </c>
      <c r="K70" s="189"/>
      <c r="L70" s="189">
        <f>78.06+29.57+62.15+2.86</f>
        <v>172.64000000000001</v>
      </c>
      <c r="M70" s="189">
        <f>J70+K70+L70</f>
        <v>329.62</v>
      </c>
      <c r="N70" s="189">
        <f>I70-M70</f>
        <v>1595.65</v>
      </c>
      <c r="O70" s="52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5.75" customHeight="1" thickTop="1" x14ac:dyDescent="0.25">
      <c r="A71" s="199" t="s">
        <v>155</v>
      </c>
      <c r="B71" s="190"/>
      <c r="C71" s="190"/>
      <c r="D71" s="190"/>
      <c r="E71" s="208"/>
      <c r="F71" s="208"/>
      <c r="G71" s="209"/>
      <c r="H71" s="210"/>
      <c r="I71" s="211"/>
      <c r="J71" s="212"/>
      <c r="K71" s="212"/>
      <c r="L71" s="212"/>
      <c r="M71" s="212"/>
      <c r="N71" s="212"/>
      <c r="O71" s="52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5.75" customHeight="1" x14ac:dyDescent="0.25">
      <c r="A72" s="192" t="s">
        <v>156</v>
      </c>
      <c r="B72" s="190"/>
      <c r="C72" s="190"/>
      <c r="D72" s="190"/>
      <c r="E72" s="208"/>
      <c r="F72" s="208"/>
      <c r="G72" s="209"/>
      <c r="H72" s="210"/>
      <c r="I72" s="211"/>
      <c r="J72" s="212"/>
      <c r="K72" s="212"/>
      <c r="L72" s="212"/>
      <c r="M72" s="212"/>
      <c r="N72" s="212"/>
      <c r="O72" s="52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5.75" customHeight="1" thickBot="1" x14ac:dyDescent="0.3">
      <c r="A73" s="50">
        <v>44686</v>
      </c>
      <c r="B73" s="186">
        <v>1681.61</v>
      </c>
      <c r="C73" s="186"/>
      <c r="D73" s="186"/>
      <c r="E73" s="186"/>
      <c r="F73" s="186"/>
      <c r="G73" s="187"/>
      <c r="H73" s="187"/>
      <c r="I73" s="188">
        <f>SUM(B73:H73)</f>
        <v>1681.61</v>
      </c>
      <c r="J73" s="189">
        <v>134.21</v>
      </c>
      <c r="K73" s="189"/>
      <c r="L73" s="189">
        <f>129.12+17.98+62.15+2.86</f>
        <v>212.11</v>
      </c>
      <c r="M73" s="189">
        <f>J73+K73+L73</f>
        <v>346.32000000000005</v>
      </c>
      <c r="N73" s="189">
        <f>I73-M73</f>
        <v>1335.29</v>
      </c>
      <c r="O73" s="52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5.75" customHeight="1" thickTop="1" x14ac:dyDescent="0.25">
      <c r="A74" s="224"/>
      <c r="B74" s="196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52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5.75" customHeight="1" x14ac:dyDescent="0.25">
      <c r="A75" s="221" t="s">
        <v>129</v>
      </c>
      <c r="B75" s="217"/>
      <c r="C75" s="217"/>
      <c r="D75" s="217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52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5.75" customHeight="1" x14ac:dyDescent="0.25">
      <c r="A76" s="199" t="s">
        <v>130</v>
      </c>
      <c r="B76" s="213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52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5.75" customHeight="1" x14ac:dyDescent="0.25">
      <c r="A77" s="192" t="s">
        <v>131</v>
      </c>
      <c r="B77" s="190"/>
      <c r="C77" s="190"/>
      <c r="D77" s="190"/>
      <c r="E77" s="208"/>
      <c r="F77" s="208"/>
      <c r="G77" s="209"/>
      <c r="H77" s="210"/>
      <c r="I77" s="211"/>
      <c r="J77" s="212"/>
      <c r="K77" s="212"/>
      <c r="L77" s="212"/>
      <c r="M77" s="212"/>
      <c r="N77" s="212"/>
      <c r="O77" s="52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5.75" customHeight="1" thickBot="1" x14ac:dyDescent="0.3">
      <c r="A78" s="50">
        <v>44509</v>
      </c>
      <c r="B78" s="186">
        <v>2663.52</v>
      </c>
      <c r="C78" s="186"/>
      <c r="D78" s="186"/>
      <c r="E78" s="186"/>
      <c r="F78" s="186"/>
      <c r="G78" s="187"/>
      <c r="H78" s="187"/>
      <c r="I78" s="188">
        <f>SUM(B78:H78)</f>
        <v>2663.52</v>
      </c>
      <c r="J78" s="189">
        <v>222.94</v>
      </c>
      <c r="K78" s="189">
        <v>40.24</v>
      </c>
      <c r="L78" s="189">
        <f>26.64+961.01+62.15+1.95</f>
        <v>1051.75</v>
      </c>
      <c r="M78" s="189">
        <f>J78+K78+L78</f>
        <v>1314.93</v>
      </c>
      <c r="N78" s="189">
        <f>I78-M78</f>
        <v>1348.59</v>
      </c>
      <c r="O78" s="52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5.75" customHeight="1" thickTop="1" x14ac:dyDescent="0.25">
      <c r="A79" s="174" t="s">
        <v>132</v>
      </c>
      <c r="B79" s="214"/>
      <c r="C79" s="214"/>
      <c r="D79" s="214"/>
      <c r="E79" s="214"/>
      <c r="F79" s="214"/>
      <c r="G79" s="214"/>
      <c r="H79" s="214"/>
      <c r="I79" s="215"/>
      <c r="J79" s="215"/>
      <c r="K79" s="215"/>
      <c r="L79" s="215"/>
      <c r="M79" s="215"/>
      <c r="N79" s="215"/>
      <c r="O79" s="52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5.75" customHeight="1" x14ac:dyDescent="0.25">
      <c r="A80" s="192" t="s">
        <v>162</v>
      </c>
      <c r="B80" s="190"/>
      <c r="C80" s="190"/>
      <c r="D80" s="190"/>
      <c r="E80" s="190"/>
      <c r="F80" s="190"/>
      <c r="G80" s="191"/>
      <c r="H80" s="191"/>
      <c r="I80" s="183"/>
      <c r="J80" s="182"/>
      <c r="K80" s="182"/>
      <c r="L80" s="182"/>
      <c r="M80" s="182"/>
      <c r="N80" s="182"/>
      <c r="O80" s="52"/>
      <c r="P80" s="1"/>
      <c r="Q80" s="1"/>
      <c r="R80" s="34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6.5" customHeight="1" thickBot="1" x14ac:dyDescent="0.3">
      <c r="A81" s="185">
        <v>43325</v>
      </c>
      <c r="B81" s="186">
        <v>2852.72</v>
      </c>
      <c r="C81" s="186"/>
      <c r="D81" s="186"/>
      <c r="E81" s="186"/>
      <c r="F81" s="186"/>
      <c r="G81" s="187">
        <v>1283.72</v>
      </c>
      <c r="H81" s="68"/>
      <c r="I81" s="188">
        <f>SUM(B81:H81)</f>
        <v>4136.4399999999996</v>
      </c>
      <c r="J81" s="189">
        <v>430.83</v>
      </c>
      <c r="K81" s="189">
        <v>144.16</v>
      </c>
      <c r="L81" s="189">
        <f>30.49+29.57+62.15+2.47</f>
        <v>124.68</v>
      </c>
      <c r="M81" s="189">
        <f>J81+K81+L81</f>
        <v>699.67000000000007</v>
      </c>
      <c r="N81" s="189">
        <f>I81-M81</f>
        <v>3436.7699999999995</v>
      </c>
      <c r="O81" s="52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6.5" customHeight="1" thickTop="1" x14ac:dyDescent="0.25">
      <c r="A82" s="225"/>
      <c r="B82" s="193"/>
      <c r="C82" s="193"/>
      <c r="D82" s="193"/>
      <c r="E82" s="193"/>
      <c r="F82" s="193"/>
      <c r="G82" s="194"/>
      <c r="H82" s="72"/>
      <c r="I82" s="195"/>
      <c r="J82" s="196"/>
      <c r="K82" s="196"/>
      <c r="L82" s="196"/>
      <c r="M82" s="196"/>
      <c r="N82" s="196"/>
      <c r="O82" s="52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5.75" customHeight="1" x14ac:dyDescent="0.25">
      <c r="A83" s="221" t="s">
        <v>134</v>
      </c>
      <c r="B83" s="217"/>
      <c r="C83" s="217"/>
      <c r="D83" s="217"/>
      <c r="E83" s="216"/>
      <c r="F83" s="216"/>
      <c r="G83" s="216"/>
      <c r="H83" s="216"/>
      <c r="I83" s="216"/>
      <c r="J83" s="216"/>
      <c r="K83" s="216"/>
      <c r="L83" s="216"/>
      <c r="M83" s="216"/>
      <c r="N83" s="219"/>
      <c r="O83" s="52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5.75" customHeight="1" x14ac:dyDescent="0.25">
      <c r="A84" s="174" t="s">
        <v>135</v>
      </c>
      <c r="B84" s="214"/>
      <c r="C84" s="214"/>
      <c r="D84" s="214"/>
      <c r="E84" s="214"/>
      <c r="F84" s="214"/>
      <c r="G84" s="214"/>
      <c r="H84" s="214"/>
      <c r="I84" s="215"/>
      <c r="J84" s="215"/>
      <c r="K84" s="215"/>
      <c r="L84" s="215"/>
      <c r="M84" s="215"/>
      <c r="N84" s="215"/>
      <c r="O84" s="52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5.75" customHeight="1" x14ac:dyDescent="0.25">
      <c r="A85" s="192" t="s">
        <v>136</v>
      </c>
      <c r="B85" s="190"/>
      <c r="C85" s="190"/>
      <c r="D85" s="190"/>
      <c r="E85" s="190"/>
      <c r="F85" s="190"/>
      <c r="G85" s="191"/>
      <c r="H85" s="191"/>
      <c r="I85" s="183"/>
      <c r="J85" s="182"/>
      <c r="K85" s="182"/>
      <c r="L85" s="182"/>
      <c r="M85" s="182"/>
      <c r="N85" s="182"/>
      <c r="O85" s="52"/>
      <c r="P85" s="1"/>
      <c r="Q85" s="1"/>
      <c r="R85" s="34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6.5" customHeight="1" thickBot="1" x14ac:dyDescent="0.3">
      <c r="A86" s="185">
        <v>43675</v>
      </c>
      <c r="B86" s="186">
        <v>2666.09</v>
      </c>
      <c r="C86" s="186"/>
      <c r="D86" s="186"/>
      <c r="E86" s="186"/>
      <c r="F86" s="186"/>
      <c r="G86" s="187"/>
      <c r="H86" s="68"/>
      <c r="I86" s="188">
        <f>SUM(B86:H86)</f>
        <v>2666.09</v>
      </c>
      <c r="J86" s="189">
        <v>234.65</v>
      </c>
      <c r="K86" s="189">
        <v>39.56</v>
      </c>
      <c r="L86" s="189">
        <f>118.49+62.15+2.99</f>
        <v>183.63</v>
      </c>
      <c r="M86" s="189">
        <f>J86+K86+L86</f>
        <v>457.84000000000003</v>
      </c>
      <c r="N86" s="189">
        <f>I86-M86</f>
        <v>2208.25</v>
      </c>
      <c r="O86" s="52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6.5" customHeight="1" thickTop="1" x14ac:dyDescent="0.25">
      <c r="A87" s="197"/>
      <c r="B87" s="196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52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6.5" customHeight="1" x14ac:dyDescent="0.25">
      <c r="A88" s="197"/>
      <c r="B88" s="196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5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6.5" customHeight="1" x14ac:dyDescent="0.25">
      <c r="A89" s="197"/>
      <c r="B89" s="193"/>
      <c r="C89" s="193"/>
      <c r="D89" s="193"/>
      <c r="E89" s="193"/>
      <c r="F89" s="193"/>
      <c r="G89" s="194"/>
      <c r="H89" s="72"/>
      <c r="I89" s="195"/>
      <c r="J89" s="196"/>
      <c r="K89" s="196"/>
      <c r="L89" s="196"/>
      <c r="M89" s="196"/>
      <c r="N89" s="196"/>
      <c r="O89" s="5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6.5" customHeight="1" x14ac:dyDescent="0.25">
      <c r="A90" s="197"/>
      <c r="B90" s="193"/>
      <c r="C90" s="193"/>
      <c r="D90" s="193"/>
      <c r="E90" s="193"/>
      <c r="F90" s="193"/>
      <c r="G90" s="194"/>
      <c r="H90" s="72"/>
      <c r="I90" s="195"/>
      <c r="J90" s="196"/>
      <c r="K90" s="196"/>
      <c r="L90" s="196"/>
      <c r="M90" s="196"/>
      <c r="N90" s="196"/>
      <c r="O90" s="52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6.5" customHeight="1" x14ac:dyDescent="0.25">
      <c r="A91" s="197"/>
      <c r="B91" s="193"/>
      <c r="C91" s="193"/>
      <c r="D91" s="193"/>
      <c r="E91" s="193"/>
      <c r="F91" s="193"/>
      <c r="G91" s="194"/>
      <c r="H91" s="72"/>
      <c r="I91" s="195"/>
      <c r="J91" s="196"/>
      <c r="K91" s="196"/>
      <c r="L91" s="196"/>
      <c r="M91" s="196"/>
      <c r="N91" s="196"/>
      <c r="O91" s="52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6.5" customHeight="1" x14ac:dyDescent="0.25">
      <c r="A92" s="197"/>
      <c r="B92" s="193"/>
      <c r="C92" s="193"/>
      <c r="D92" s="193"/>
      <c r="E92" s="193"/>
      <c r="F92" s="193"/>
      <c r="G92" s="194"/>
      <c r="H92" s="72"/>
      <c r="I92" s="195"/>
      <c r="J92" s="196"/>
      <c r="K92" s="196"/>
      <c r="L92" s="196"/>
      <c r="M92" s="196"/>
      <c r="N92" s="196"/>
      <c r="O92" s="52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6.5" customHeight="1" x14ac:dyDescent="0.25">
      <c r="A93" s="197"/>
      <c r="B93" s="193"/>
      <c r="C93" s="193"/>
      <c r="D93" s="193"/>
      <c r="E93" s="193"/>
      <c r="F93" s="193"/>
      <c r="G93" s="194"/>
      <c r="H93" s="72"/>
      <c r="I93" s="195"/>
      <c r="J93" s="196"/>
      <c r="K93" s="196"/>
      <c r="L93" s="196"/>
      <c r="M93" s="196"/>
      <c r="N93" s="196"/>
      <c r="O93" s="52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5.75" customHeight="1" x14ac:dyDescent="0.25">
      <c r="A94" s="273" t="s">
        <v>159</v>
      </c>
      <c r="B94" s="280"/>
      <c r="C94" s="280"/>
      <c r="D94" s="280"/>
      <c r="E94" s="280"/>
      <c r="F94" s="280"/>
      <c r="G94" s="280"/>
      <c r="H94" s="280"/>
      <c r="I94" s="280"/>
      <c r="J94" s="280"/>
      <c r="K94" s="280"/>
      <c r="L94" s="280"/>
      <c r="M94" s="280"/>
      <c r="N94" s="280"/>
      <c r="O94" s="52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5.75" customHeight="1" thickBot="1" x14ac:dyDescent="0.3">
      <c r="A95" s="109" t="s">
        <v>91</v>
      </c>
      <c r="B95" s="175">
        <v>2023</v>
      </c>
      <c r="C95" s="175"/>
      <c r="D95" s="175"/>
      <c r="E95" s="204"/>
      <c r="F95" s="204"/>
      <c r="G95" s="205"/>
      <c r="H95" s="205"/>
      <c r="I95" s="205"/>
      <c r="J95" s="204"/>
      <c r="K95" s="204"/>
      <c r="L95" s="204"/>
      <c r="M95" s="204"/>
      <c r="N95" s="204"/>
      <c r="O95" s="52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5.75" customHeight="1" x14ac:dyDescent="0.25">
      <c r="A96" s="178" t="s">
        <v>2</v>
      </c>
      <c r="B96" s="274" t="s">
        <v>3</v>
      </c>
      <c r="C96" s="274" t="s">
        <v>164</v>
      </c>
      <c r="D96" s="274" t="s">
        <v>165</v>
      </c>
      <c r="E96" s="274" t="s">
        <v>92</v>
      </c>
      <c r="F96" s="268" t="s">
        <v>93</v>
      </c>
      <c r="G96" s="275" t="s">
        <v>8</v>
      </c>
      <c r="H96" s="277" t="s">
        <v>94</v>
      </c>
      <c r="I96" s="277" t="s">
        <v>9</v>
      </c>
      <c r="J96" s="274" t="s">
        <v>11</v>
      </c>
      <c r="K96" s="274" t="s">
        <v>95</v>
      </c>
      <c r="L96" s="268" t="s">
        <v>12</v>
      </c>
      <c r="M96" s="268" t="s">
        <v>13</v>
      </c>
      <c r="N96" s="268" t="s">
        <v>14</v>
      </c>
      <c r="O96" s="52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5.75" customHeight="1" x14ac:dyDescent="0.25">
      <c r="A97" s="179" t="s">
        <v>15</v>
      </c>
      <c r="B97" s="269"/>
      <c r="C97" s="269"/>
      <c r="D97" s="269"/>
      <c r="E97" s="269"/>
      <c r="F97" s="269"/>
      <c r="G97" s="275"/>
      <c r="H97" s="269"/>
      <c r="I97" s="269"/>
      <c r="J97" s="269"/>
      <c r="K97" s="269"/>
      <c r="L97" s="269"/>
      <c r="M97" s="269"/>
      <c r="N97" s="269"/>
      <c r="O97" s="52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5.75" customHeight="1" thickBot="1" x14ac:dyDescent="0.3">
      <c r="A98" s="180" t="s">
        <v>16</v>
      </c>
      <c r="B98" s="270"/>
      <c r="C98" s="270"/>
      <c r="D98" s="270"/>
      <c r="E98" s="270"/>
      <c r="F98" s="270"/>
      <c r="G98" s="276"/>
      <c r="H98" s="270"/>
      <c r="I98" s="270"/>
      <c r="J98" s="270"/>
      <c r="K98" s="270"/>
      <c r="L98" s="270"/>
      <c r="M98" s="270"/>
      <c r="N98" s="270"/>
      <c r="O98" s="52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5.75" customHeight="1" thickTop="1" x14ac:dyDescent="0.25">
      <c r="A99" s="206" t="s">
        <v>137</v>
      </c>
      <c r="B99" s="278"/>
      <c r="C99" s="278"/>
      <c r="D99" s="278"/>
      <c r="E99" s="279"/>
      <c r="F99" s="279"/>
      <c r="G99" s="279"/>
      <c r="H99" s="279"/>
      <c r="I99" s="279"/>
      <c r="J99" s="279"/>
      <c r="K99" s="279"/>
      <c r="L99" s="279"/>
      <c r="M99" s="279"/>
      <c r="N99" s="279"/>
      <c r="O99" s="52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5.75" customHeight="1" x14ac:dyDescent="0.25">
      <c r="A100" s="174" t="s">
        <v>138</v>
      </c>
      <c r="B100" s="214"/>
      <c r="C100" s="214"/>
      <c r="D100" s="214"/>
      <c r="E100" s="214"/>
      <c r="F100" s="214"/>
      <c r="G100" s="214"/>
      <c r="H100" s="214"/>
      <c r="I100" s="215"/>
      <c r="J100" s="215"/>
      <c r="K100" s="215"/>
      <c r="L100" s="215"/>
      <c r="M100" s="215"/>
      <c r="N100" s="215"/>
      <c r="O100" s="52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5.75" customHeight="1" x14ac:dyDescent="0.25">
      <c r="A101" s="192" t="s">
        <v>131</v>
      </c>
      <c r="B101" s="190"/>
      <c r="C101" s="190"/>
      <c r="D101" s="190"/>
      <c r="E101" s="190"/>
      <c r="F101" s="190"/>
      <c r="G101" s="191"/>
      <c r="H101" s="191"/>
      <c r="I101" s="183"/>
      <c r="J101" s="182"/>
      <c r="K101" s="182"/>
      <c r="L101" s="182"/>
      <c r="M101" s="182"/>
      <c r="N101" s="182"/>
      <c r="O101" s="52"/>
      <c r="P101" s="1"/>
      <c r="Q101" s="1"/>
      <c r="R101" s="34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6.5" customHeight="1" thickBot="1" x14ac:dyDescent="0.3">
      <c r="A102" s="185">
        <v>44516</v>
      </c>
      <c r="B102" s="186">
        <v>1417.68</v>
      </c>
      <c r="C102" s="186"/>
      <c r="D102" s="186"/>
      <c r="E102" s="186">
        <f>1109.8+369.93</f>
        <v>1479.73</v>
      </c>
      <c r="F102" s="186"/>
      <c r="G102" s="187"/>
      <c r="H102" s="68"/>
      <c r="I102" s="188">
        <f>SUM(B102:H102)</f>
        <v>2897.41</v>
      </c>
      <c r="J102" s="189">
        <f>143.12+118.55</f>
        <v>261.67</v>
      </c>
      <c r="K102" s="189"/>
      <c r="L102" s="189">
        <f>226.83+26.64+29.57+62.15+1.82</f>
        <v>347.01</v>
      </c>
      <c r="M102" s="189">
        <f>J102+K102+L102</f>
        <v>608.68000000000006</v>
      </c>
      <c r="N102" s="189">
        <f>I102-M102</f>
        <v>2288.7299999999996</v>
      </c>
      <c r="O102" s="52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5.75" customHeight="1" thickTop="1" x14ac:dyDescent="0.25">
      <c r="A103" s="206" t="s">
        <v>168</v>
      </c>
      <c r="B103" s="217"/>
      <c r="C103" s="217"/>
      <c r="D103" s="217"/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52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5.75" customHeight="1" x14ac:dyDescent="0.25">
      <c r="A104" s="174" t="s">
        <v>158</v>
      </c>
      <c r="B104" s="214"/>
      <c r="C104" s="214"/>
      <c r="D104" s="214"/>
      <c r="E104" s="214"/>
      <c r="F104" s="214"/>
      <c r="G104" s="214"/>
      <c r="H104" s="214"/>
      <c r="I104" s="215"/>
      <c r="J104" s="215"/>
      <c r="K104" s="215"/>
      <c r="L104" s="215"/>
      <c r="M104" s="215"/>
      <c r="N104" s="215"/>
      <c r="O104" s="52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5.75" customHeight="1" x14ac:dyDescent="0.25">
      <c r="A105" s="192" t="s">
        <v>131</v>
      </c>
      <c r="B105" s="190"/>
      <c r="C105" s="190"/>
      <c r="D105" s="190"/>
      <c r="E105" s="190"/>
      <c r="F105" s="190"/>
      <c r="G105" s="191"/>
      <c r="H105" s="191"/>
      <c r="I105" s="183"/>
      <c r="J105" s="182"/>
      <c r="K105" s="182"/>
      <c r="L105" s="182"/>
      <c r="M105" s="182"/>
      <c r="N105" s="182"/>
      <c r="O105" s="52"/>
      <c r="P105" s="1"/>
      <c r="Q105" s="1"/>
      <c r="R105" s="34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6.5" customHeight="1" thickBot="1" x14ac:dyDescent="0.3">
      <c r="A106" s="185">
        <v>44739</v>
      </c>
      <c r="B106" s="186">
        <v>2491.6799999999998</v>
      </c>
      <c r="C106" s="186"/>
      <c r="D106" s="186"/>
      <c r="E106" s="186"/>
      <c r="F106" s="186"/>
      <c r="G106" s="187"/>
      <c r="H106" s="68"/>
      <c r="I106" s="188">
        <f>SUM(B106:H106)</f>
        <v>2491.6799999999998</v>
      </c>
      <c r="J106" s="189">
        <v>212.98</v>
      </c>
      <c r="K106" s="189">
        <v>13.88</v>
      </c>
      <c r="L106" s="189">
        <f>138.34+26.63+62.15+2.86</f>
        <v>229.98000000000002</v>
      </c>
      <c r="M106" s="189">
        <f>SUM(J106:L106)</f>
        <v>456.84000000000003</v>
      </c>
      <c r="N106" s="189">
        <f>I106-M106</f>
        <v>2034.8399999999997</v>
      </c>
      <c r="O106" s="52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5.75" customHeight="1" thickTop="1" x14ac:dyDescent="0.25">
      <c r="A107" s="206" t="s">
        <v>169</v>
      </c>
      <c r="B107" s="217"/>
      <c r="C107" s="217"/>
      <c r="D107" s="217"/>
      <c r="E107" s="216"/>
      <c r="F107" s="216"/>
      <c r="G107" s="216"/>
      <c r="H107" s="216"/>
      <c r="I107" s="216"/>
      <c r="J107" s="216"/>
      <c r="K107" s="216"/>
      <c r="L107" s="216"/>
      <c r="M107" s="216"/>
      <c r="N107" s="216"/>
      <c r="O107" s="52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5.75" customHeight="1" x14ac:dyDescent="0.25">
      <c r="A108" s="174" t="s">
        <v>170</v>
      </c>
      <c r="B108" s="214"/>
      <c r="C108" s="214"/>
      <c r="D108" s="214"/>
      <c r="E108" s="214"/>
      <c r="F108" s="214"/>
      <c r="G108" s="214"/>
      <c r="H108" s="214"/>
      <c r="I108" s="215"/>
      <c r="J108" s="215"/>
      <c r="K108" s="215"/>
      <c r="L108" s="215"/>
      <c r="M108" s="215"/>
      <c r="N108" s="215"/>
      <c r="O108" s="52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5.75" customHeight="1" x14ac:dyDescent="0.25">
      <c r="A109" s="192" t="s">
        <v>131</v>
      </c>
      <c r="B109" s="190"/>
      <c r="C109" s="190"/>
      <c r="D109" s="190"/>
      <c r="E109" s="190"/>
      <c r="F109" s="190"/>
      <c r="G109" s="191"/>
      <c r="H109" s="191"/>
      <c r="I109" s="183"/>
      <c r="J109" s="182"/>
      <c r="K109" s="182"/>
      <c r="L109" s="182"/>
      <c r="M109" s="182"/>
      <c r="N109" s="182"/>
      <c r="O109" s="52"/>
      <c r="P109" s="1"/>
      <c r="Q109" s="1"/>
      <c r="R109" s="34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6.5" customHeight="1" thickBot="1" x14ac:dyDescent="0.3">
      <c r="A110" s="185">
        <v>44935</v>
      </c>
      <c r="B110" s="186">
        <v>1976.16</v>
      </c>
      <c r="C110" s="186"/>
      <c r="D110" s="186"/>
      <c r="E110" s="186"/>
      <c r="F110" s="186"/>
      <c r="G110" s="187"/>
      <c r="H110" s="68"/>
      <c r="I110" s="188">
        <f>SUM(B110:H110)</f>
        <v>1976.16</v>
      </c>
      <c r="J110" s="189">
        <v>158.32</v>
      </c>
      <c r="K110" s="189">
        <v>0</v>
      </c>
      <c r="L110" s="189">
        <v>0</v>
      </c>
      <c r="M110" s="189">
        <f>SUM(J110:L110)</f>
        <v>158.32</v>
      </c>
      <c r="N110" s="189">
        <f>I110-M110</f>
        <v>1817.8400000000001</v>
      </c>
      <c r="O110" s="52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5" thickTop="1" x14ac:dyDescent="0.2">
      <c r="N111" s="100"/>
    </row>
    <row r="112" spans="1:34" x14ac:dyDescent="0.2">
      <c r="E112" s="218"/>
      <c r="N112" s="218"/>
    </row>
    <row r="113" spans="13:14" x14ac:dyDescent="0.2">
      <c r="N113" s="218"/>
    </row>
    <row r="114" spans="13:14" x14ac:dyDescent="0.2">
      <c r="N114" s="220"/>
    </row>
    <row r="117" spans="13:14" x14ac:dyDescent="0.2">
      <c r="N117" s="218"/>
    </row>
    <row r="121" spans="13:14" x14ac:dyDescent="0.2">
      <c r="M121" s="100"/>
    </row>
    <row r="122" spans="13:14" x14ac:dyDescent="0.2">
      <c r="M122" s="100"/>
    </row>
    <row r="123" spans="13:14" x14ac:dyDescent="0.2">
      <c r="M123" s="100"/>
    </row>
    <row r="124" spans="13:14" x14ac:dyDescent="0.2">
      <c r="M124" s="100"/>
    </row>
  </sheetData>
  <mergeCells count="45">
    <mergeCell ref="C52:C54"/>
    <mergeCell ref="D52:D54"/>
    <mergeCell ref="A94:N94"/>
    <mergeCell ref="B6:N6"/>
    <mergeCell ref="A50:N50"/>
    <mergeCell ref="B52:B54"/>
    <mergeCell ref="E52:E54"/>
    <mergeCell ref="F52:F54"/>
    <mergeCell ref="G52:G54"/>
    <mergeCell ref="H52:H54"/>
    <mergeCell ref="I52:I54"/>
    <mergeCell ref="J52:J54"/>
    <mergeCell ref="K52:K54"/>
    <mergeCell ref="M52:M54"/>
    <mergeCell ref="N52:N54"/>
    <mergeCell ref="I96:I98"/>
    <mergeCell ref="J96:J98"/>
    <mergeCell ref="L52:L54"/>
    <mergeCell ref="B99:N99"/>
    <mergeCell ref="B55:N55"/>
    <mergeCell ref="N96:N98"/>
    <mergeCell ref="C96:C98"/>
    <mergeCell ref="K96:K98"/>
    <mergeCell ref="L96:L98"/>
    <mergeCell ref="M96:M98"/>
    <mergeCell ref="B96:B98"/>
    <mergeCell ref="E96:E98"/>
    <mergeCell ref="F96:F98"/>
    <mergeCell ref="G96:G98"/>
    <mergeCell ref="H96:H98"/>
    <mergeCell ref="D96:D98"/>
    <mergeCell ref="M3:M5"/>
    <mergeCell ref="N3:N5"/>
    <mergeCell ref="A1:N1"/>
    <mergeCell ref="B3:B5"/>
    <mergeCell ref="E3:E5"/>
    <mergeCell ref="F3:F5"/>
    <mergeCell ref="G3:G5"/>
    <mergeCell ref="H3:H5"/>
    <mergeCell ref="I3:I5"/>
    <mergeCell ref="J3:J5"/>
    <mergeCell ref="K3:K5"/>
    <mergeCell ref="L3:L5"/>
    <mergeCell ref="C3:C5"/>
    <mergeCell ref="D3:D5"/>
  </mergeCells>
  <printOptions horizontalCentered="1"/>
  <pageMargins left="0.11811023622047245" right="0.11811023622047245" top="0.39370078740157483" bottom="0.39370078740157483" header="0.31496062992125984" footer="0.31496062992125984"/>
  <pageSetup paperSize="9" scale="70" orientation="landscape" r:id="rId1"/>
  <rowBreaks count="2" manualBreakCount="2">
    <brk id="48" max="16383" man="1"/>
    <brk id="88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1000"/>
  <sheetViews>
    <sheetView workbookViewId="0"/>
  </sheetViews>
  <sheetFormatPr defaultColWidth="12.625" defaultRowHeight="15" customHeight="1" x14ac:dyDescent="0.2"/>
  <cols>
    <col min="1" max="1" width="23.5" customWidth="1"/>
    <col min="2" max="2" width="10.875" customWidth="1"/>
    <col min="3" max="3" width="9.25" customWidth="1"/>
    <col min="4" max="5" width="9.125" customWidth="1"/>
    <col min="6" max="6" width="9.625" customWidth="1"/>
    <col min="7" max="7" width="9.25" customWidth="1"/>
    <col min="8" max="8" width="10.375" customWidth="1"/>
    <col min="9" max="11" width="7.625" customWidth="1"/>
    <col min="12" max="12" width="10.25" customWidth="1"/>
    <col min="13" max="13" width="15.375" customWidth="1"/>
    <col min="14" max="33" width="7.625" customWidth="1"/>
  </cols>
  <sheetData>
    <row r="1" spans="1:18" x14ac:dyDescent="0.25">
      <c r="A1" s="238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52"/>
    </row>
    <row r="2" spans="1:18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52"/>
      <c r="O2" s="1"/>
      <c r="P2" s="1"/>
      <c r="Q2" s="1"/>
      <c r="R2" s="1"/>
    </row>
    <row r="3" spans="1:18" x14ac:dyDescent="0.25">
      <c r="A3" s="90" t="s">
        <v>57</v>
      </c>
      <c r="B3" s="89">
        <v>2019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52"/>
      <c r="O3" s="1"/>
      <c r="P3" s="1"/>
      <c r="Q3" s="1"/>
      <c r="R3" s="1"/>
    </row>
    <row r="4" spans="1:18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52"/>
      <c r="O4" s="1"/>
      <c r="P4" s="1"/>
      <c r="Q4" s="1"/>
      <c r="R4" s="1"/>
    </row>
    <row r="5" spans="1:18" ht="19.5" customHeight="1" x14ac:dyDescent="0.25">
      <c r="A5" s="91" t="s">
        <v>2</v>
      </c>
      <c r="B5" s="231" t="s">
        <v>3</v>
      </c>
      <c r="C5" s="231" t="s">
        <v>4</v>
      </c>
      <c r="D5" s="228" t="s">
        <v>5</v>
      </c>
      <c r="E5" s="228" t="s">
        <v>6</v>
      </c>
      <c r="F5" s="228" t="s">
        <v>7</v>
      </c>
      <c r="G5" s="231" t="s">
        <v>8</v>
      </c>
      <c r="H5" s="228" t="s">
        <v>9</v>
      </c>
      <c r="I5" s="231" t="s">
        <v>10</v>
      </c>
      <c r="J5" s="231" t="s">
        <v>11</v>
      </c>
      <c r="K5" s="228" t="s">
        <v>12</v>
      </c>
      <c r="L5" s="228" t="s">
        <v>13</v>
      </c>
      <c r="M5" s="228" t="s">
        <v>14</v>
      </c>
      <c r="N5" s="52"/>
      <c r="O5" s="1"/>
      <c r="P5" s="1"/>
      <c r="Q5" s="1"/>
      <c r="R5" s="1"/>
    </row>
    <row r="6" spans="1:18" ht="18.75" customHeight="1" x14ac:dyDescent="0.25">
      <c r="A6" s="90" t="s">
        <v>15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52"/>
      <c r="O6" s="1"/>
      <c r="P6" s="1"/>
      <c r="Q6" s="1"/>
      <c r="R6" s="1"/>
    </row>
    <row r="7" spans="1:18" ht="15.75" customHeight="1" x14ac:dyDescent="0.25">
      <c r="A7" s="92" t="s">
        <v>16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52"/>
      <c r="O7" s="1"/>
      <c r="P7" s="1"/>
      <c r="Q7" s="1"/>
      <c r="R7" s="1"/>
    </row>
    <row r="8" spans="1:18" ht="20.25" customHeight="1" x14ac:dyDescent="0.25">
      <c r="A8" s="2" t="s">
        <v>17</v>
      </c>
      <c r="B8" s="235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52"/>
      <c r="O8" s="1"/>
      <c r="P8" s="1"/>
      <c r="Q8" s="1"/>
      <c r="R8" s="1"/>
    </row>
    <row r="9" spans="1:18" ht="18.75" customHeight="1" x14ac:dyDescent="0.25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2"/>
      <c r="O9" s="1"/>
      <c r="P9" s="1"/>
      <c r="Q9" s="1"/>
      <c r="R9" s="1"/>
    </row>
    <row r="10" spans="1:18" ht="15.75" customHeight="1" x14ac:dyDescent="0.25">
      <c r="A10" s="5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2"/>
      <c r="O10" s="1"/>
      <c r="P10" s="1"/>
      <c r="Q10" s="1"/>
      <c r="R10" s="1"/>
    </row>
    <row r="11" spans="1:18" ht="18.75" customHeight="1" x14ac:dyDescent="0.25">
      <c r="A11" s="6">
        <v>43544</v>
      </c>
      <c r="B11" s="7">
        <v>6000</v>
      </c>
      <c r="C11" s="7"/>
      <c r="D11" s="7"/>
      <c r="E11" s="7"/>
      <c r="F11" s="7"/>
      <c r="G11" s="7"/>
      <c r="H11" s="7">
        <f>SUM(B11:G11)</f>
        <v>6000</v>
      </c>
      <c r="I11" s="7">
        <v>604</v>
      </c>
      <c r="J11" s="7">
        <v>642.33000000000004</v>
      </c>
      <c r="K11" s="7"/>
      <c r="L11" s="7">
        <f>SUM(I11:K11)</f>
        <v>1246.33</v>
      </c>
      <c r="M11" s="7">
        <f>H11-L11</f>
        <v>4753.67</v>
      </c>
      <c r="N11" s="52"/>
      <c r="O11" s="1"/>
      <c r="P11" s="1"/>
      <c r="Q11" s="1"/>
      <c r="R11" s="1"/>
    </row>
    <row r="12" spans="1:18" ht="18.75" customHeight="1" x14ac:dyDescent="0.25">
      <c r="A12" s="8" t="s">
        <v>20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52"/>
      <c r="O12" s="1"/>
      <c r="P12" s="1"/>
      <c r="Q12" s="1"/>
      <c r="R12" s="1"/>
    </row>
    <row r="13" spans="1:18" ht="18.75" customHeight="1" x14ac:dyDescent="0.25">
      <c r="A13" s="10" t="s">
        <v>21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52"/>
      <c r="O13" s="1"/>
      <c r="P13" s="1"/>
      <c r="Q13" s="1"/>
      <c r="R13" s="1"/>
    </row>
    <row r="14" spans="1:18" ht="18.75" customHeight="1" x14ac:dyDescent="0.25">
      <c r="A14" s="6">
        <v>43606</v>
      </c>
      <c r="B14" s="11">
        <v>1400</v>
      </c>
      <c r="C14" s="11"/>
      <c r="D14" s="11"/>
      <c r="E14" s="11"/>
      <c r="F14" s="11"/>
      <c r="G14" s="11"/>
      <c r="H14" s="7">
        <f>SUM(B14:G14)</f>
        <v>1400</v>
      </c>
      <c r="I14" s="7"/>
      <c r="J14" s="7">
        <v>112</v>
      </c>
      <c r="K14" s="7">
        <f>84</f>
        <v>84</v>
      </c>
      <c r="L14" s="7">
        <f>SUM(I14:K14)</f>
        <v>196</v>
      </c>
      <c r="M14" s="7">
        <f>H14-L14</f>
        <v>1204</v>
      </c>
      <c r="N14" s="52"/>
      <c r="O14" s="1"/>
      <c r="P14" s="1"/>
      <c r="Q14" s="1"/>
      <c r="R14" s="1"/>
    </row>
    <row r="15" spans="1:18" x14ac:dyDescent="0.25">
      <c r="A15" s="3" t="s">
        <v>58</v>
      </c>
      <c r="B15" s="12"/>
      <c r="F15" s="13"/>
      <c r="N15" s="52"/>
      <c r="O15" s="1"/>
      <c r="P15" s="1"/>
      <c r="Q15" s="1"/>
      <c r="R15" s="1"/>
    </row>
    <row r="16" spans="1:18" x14ac:dyDescent="0.25">
      <c r="A16" s="5" t="s">
        <v>59</v>
      </c>
      <c r="B16" s="12"/>
      <c r="F16" s="13"/>
      <c r="N16" s="52"/>
      <c r="O16" s="1"/>
      <c r="P16" s="1"/>
      <c r="Q16" s="1"/>
      <c r="R16" s="1"/>
    </row>
    <row r="17" spans="1:33" x14ac:dyDescent="0.25">
      <c r="A17" s="6">
        <v>43623</v>
      </c>
      <c r="B17" s="11">
        <v>2000</v>
      </c>
      <c r="C17" s="11"/>
      <c r="D17" s="11"/>
      <c r="E17" s="11"/>
      <c r="F17" s="11"/>
      <c r="G17" s="11"/>
      <c r="H17" s="7">
        <f>SUM(B17:G17)</f>
        <v>2000</v>
      </c>
      <c r="I17" s="7"/>
      <c r="J17" s="7">
        <v>180</v>
      </c>
      <c r="K17" s="7">
        <f>120</f>
        <v>120</v>
      </c>
      <c r="L17" s="7">
        <f>SUM(I17:K17)</f>
        <v>300</v>
      </c>
      <c r="M17" s="7">
        <f>H17-L17</f>
        <v>1700</v>
      </c>
      <c r="N17" s="5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25">
      <c r="A18" s="3" t="s">
        <v>22</v>
      </c>
      <c r="B18" s="12"/>
      <c r="F18" s="13"/>
      <c r="N18" s="52"/>
      <c r="O18" s="1"/>
      <c r="P18" s="1"/>
      <c r="Q18" s="1"/>
      <c r="R18" s="1"/>
    </row>
    <row r="19" spans="1:33" x14ac:dyDescent="0.25">
      <c r="A19" s="5" t="s">
        <v>23</v>
      </c>
      <c r="B19" s="12"/>
      <c r="F19" s="13"/>
      <c r="N19" s="52"/>
      <c r="O19" s="1"/>
      <c r="P19" s="1"/>
      <c r="Q19" s="1"/>
      <c r="R19" s="1"/>
    </row>
    <row r="20" spans="1:33" x14ac:dyDescent="0.25">
      <c r="A20" s="6">
        <v>43507</v>
      </c>
      <c r="B20" s="11">
        <v>2000</v>
      </c>
      <c r="C20" s="11"/>
      <c r="D20" s="11"/>
      <c r="E20" s="11"/>
      <c r="F20" s="11"/>
      <c r="G20" s="11"/>
      <c r="H20" s="7">
        <f>B20+C20+D20+E20+F20+G20</f>
        <v>2000</v>
      </c>
      <c r="I20" s="7"/>
      <c r="J20" s="7">
        <v>180</v>
      </c>
      <c r="K20" s="7">
        <f>120</f>
        <v>120</v>
      </c>
      <c r="L20" s="7">
        <f>I20+J20+K20</f>
        <v>300</v>
      </c>
      <c r="M20" s="7">
        <f>H20-L20</f>
        <v>1700</v>
      </c>
      <c r="N20" s="5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75" customHeight="1" x14ac:dyDescent="0.25">
      <c r="A21" s="8" t="s">
        <v>24</v>
      </c>
      <c r="B21" s="12"/>
      <c r="C21" s="12"/>
      <c r="D21" s="12"/>
      <c r="E21" s="12"/>
      <c r="F21" s="12"/>
      <c r="G21" s="12"/>
      <c r="H21" s="9"/>
      <c r="I21" s="9"/>
      <c r="J21" s="9"/>
      <c r="K21" s="9"/>
      <c r="L21" s="9"/>
      <c r="M21" s="9"/>
      <c r="N21" s="5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75" customHeight="1" x14ac:dyDescent="0.25">
      <c r="A22" s="10" t="s">
        <v>21</v>
      </c>
      <c r="B22" s="12"/>
      <c r="C22" s="12"/>
      <c r="D22" s="12"/>
      <c r="E22" s="12"/>
      <c r="F22" s="12"/>
      <c r="G22" s="12"/>
      <c r="H22" s="9"/>
      <c r="I22" s="9"/>
      <c r="J22" s="9"/>
      <c r="K22" s="9"/>
      <c r="L22" s="9"/>
      <c r="M22" s="9"/>
      <c r="N22" s="5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75" customHeight="1" x14ac:dyDescent="0.25">
      <c r="A23" s="6">
        <v>43606</v>
      </c>
      <c r="B23" s="11">
        <v>1400</v>
      </c>
      <c r="C23" s="11"/>
      <c r="D23" s="11"/>
      <c r="E23" s="11"/>
      <c r="F23" s="11"/>
      <c r="G23" s="11"/>
      <c r="H23" s="7">
        <f>B23+C23+D23+E23+F23+G23</f>
        <v>1400</v>
      </c>
      <c r="I23" s="7"/>
      <c r="J23" s="7">
        <v>112</v>
      </c>
      <c r="K23" s="7">
        <f>84</f>
        <v>84</v>
      </c>
      <c r="L23" s="7">
        <f>I23+J23+K23</f>
        <v>196</v>
      </c>
      <c r="M23" s="7">
        <f>H23-L23</f>
        <v>1204</v>
      </c>
      <c r="N23" s="5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75" customHeight="1" x14ac:dyDescent="0.25">
      <c r="A24" s="3" t="s">
        <v>25</v>
      </c>
      <c r="B24" s="12"/>
      <c r="F24" s="13"/>
      <c r="N24" s="5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75" customHeight="1" x14ac:dyDescent="0.25">
      <c r="A25" s="5" t="s">
        <v>26</v>
      </c>
      <c r="B25" s="12"/>
      <c r="F25" s="13"/>
      <c r="N25" s="5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75" customHeight="1" x14ac:dyDescent="0.25">
      <c r="A26" s="6">
        <v>43507</v>
      </c>
      <c r="B26" s="11">
        <v>6000</v>
      </c>
      <c r="C26" s="11"/>
      <c r="D26" s="11"/>
      <c r="E26" s="11"/>
      <c r="F26" s="11"/>
      <c r="G26" s="11"/>
      <c r="H26" s="7">
        <f>B26+C26+D26+E26+F26+G26</f>
        <v>6000</v>
      </c>
      <c r="I26" s="7">
        <v>604</v>
      </c>
      <c r="J26" s="7">
        <v>642.33000000000004</v>
      </c>
      <c r="K26" s="7"/>
      <c r="L26" s="7">
        <f>I26+J26+K26</f>
        <v>1246.33</v>
      </c>
      <c r="M26" s="7">
        <f>H26-L26</f>
        <v>4753.67</v>
      </c>
      <c r="N26" s="5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75" customHeight="1" x14ac:dyDescent="0.25">
      <c r="A27" s="3" t="s">
        <v>27</v>
      </c>
      <c r="B27" s="12"/>
      <c r="F27" s="13"/>
      <c r="N27" s="5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75" customHeight="1" x14ac:dyDescent="0.25">
      <c r="A28" s="5" t="s">
        <v>28</v>
      </c>
      <c r="B28" s="12"/>
      <c r="F28" s="13"/>
      <c r="N28" s="5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75" customHeight="1" x14ac:dyDescent="0.25">
      <c r="A29" s="6">
        <v>43507</v>
      </c>
      <c r="B29" s="11">
        <v>6000</v>
      </c>
      <c r="C29" s="11"/>
      <c r="D29" s="11"/>
      <c r="E29" s="11"/>
      <c r="F29" s="11"/>
      <c r="G29" s="11"/>
      <c r="H29" s="7">
        <f>B29+C29+D29+E29+F29+G29</f>
        <v>6000</v>
      </c>
      <c r="I29" s="7">
        <v>499.72</v>
      </c>
      <c r="J29" s="7">
        <v>642.33000000000004</v>
      </c>
      <c r="K29" s="7"/>
      <c r="L29" s="7">
        <f>I29+J29+K29</f>
        <v>1142.0500000000002</v>
      </c>
      <c r="M29" s="7">
        <f>H29-L29</f>
        <v>4857.95</v>
      </c>
      <c r="N29" s="5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75" customHeight="1" x14ac:dyDescent="0.25">
      <c r="A30" s="3" t="s">
        <v>29</v>
      </c>
      <c r="B30" s="12"/>
      <c r="F30" s="13"/>
      <c r="N30" s="5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75" customHeight="1" x14ac:dyDescent="0.25">
      <c r="A31" s="5" t="s">
        <v>30</v>
      </c>
      <c r="B31" s="12"/>
      <c r="F31" s="13"/>
      <c r="N31" s="5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75" customHeight="1" x14ac:dyDescent="0.25">
      <c r="A32" s="6">
        <v>43507</v>
      </c>
      <c r="B32" s="11">
        <v>6000</v>
      </c>
      <c r="C32" s="11"/>
      <c r="D32" s="11"/>
      <c r="E32" s="11"/>
      <c r="F32" s="11"/>
      <c r="G32" s="11"/>
      <c r="H32" s="7">
        <f>B32+C32+D32+E32+F32+G32</f>
        <v>6000</v>
      </c>
      <c r="I32" s="7">
        <v>700.79</v>
      </c>
      <c r="J32" s="7">
        <v>290.38</v>
      </c>
      <c r="K32" s="7"/>
      <c r="L32" s="7">
        <f>I32+J32+K32</f>
        <v>991.17</v>
      </c>
      <c r="M32" s="7">
        <f>H32-L32</f>
        <v>5008.83</v>
      </c>
      <c r="N32" s="5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75" customHeight="1" x14ac:dyDescent="0.25">
      <c r="A33" s="3" t="s">
        <v>31</v>
      </c>
      <c r="B33" s="12"/>
      <c r="F33" s="13"/>
      <c r="N33" s="5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75" customHeight="1" x14ac:dyDescent="0.25">
      <c r="A34" s="5" t="s">
        <v>32</v>
      </c>
      <c r="B34" s="12"/>
      <c r="F34" s="13"/>
      <c r="N34" s="5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3.5" customHeight="1" x14ac:dyDescent="0.25">
      <c r="A35" s="97">
        <v>43507</v>
      </c>
      <c r="B35" s="98">
        <v>7000</v>
      </c>
      <c r="C35" s="98"/>
      <c r="D35" s="98"/>
      <c r="E35" s="98"/>
      <c r="F35" s="98"/>
      <c r="G35" s="98"/>
      <c r="H35" s="7">
        <f>B35+C35+D35+E35+F35+G35</f>
        <v>7000</v>
      </c>
      <c r="I35" s="7">
        <v>774.72</v>
      </c>
      <c r="J35" s="7">
        <v>642.33000000000004</v>
      </c>
      <c r="K35" s="7"/>
      <c r="L35" s="7">
        <f>I35+J35+K35</f>
        <v>1417.0500000000002</v>
      </c>
      <c r="M35" s="7">
        <f>H35-L35</f>
        <v>5582.95</v>
      </c>
      <c r="N35" s="5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75" customHeight="1" x14ac:dyDescent="0.25">
      <c r="A36" s="14" t="s">
        <v>2</v>
      </c>
      <c r="B36" s="231" t="s">
        <v>3</v>
      </c>
      <c r="C36" s="231" t="s">
        <v>4</v>
      </c>
      <c r="D36" s="228" t="s">
        <v>5</v>
      </c>
      <c r="E36" s="228" t="s">
        <v>6</v>
      </c>
      <c r="F36" s="228" t="s">
        <v>7</v>
      </c>
      <c r="G36" s="231" t="s">
        <v>8</v>
      </c>
      <c r="H36" s="228" t="s">
        <v>9</v>
      </c>
      <c r="I36" s="231" t="s">
        <v>10</v>
      </c>
      <c r="J36" s="231" t="s">
        <v>11</v>
      </c>
      <c r="K36" s="228" t="s">
        <v>12</v>
      </c>
      <c r="L36" s="228" t="s">
        <v>13</v>
      </c>
      <c r="M36" s="228" t="s">
        <v>14</v>
      </c>
      <c r="N36" s="5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75" customHeight="1" x14ac:dyDescent="0.25">
      <c r="A37" s="90" t="s">
        <v>15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5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75" customHeight="1" x14ac:dyDescent="0.25">
      <c r="A38" s="96" t="s">
        <v>16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5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 customHeight="1" x14ac:dyDescent="0.25">
      <c r="A39" s="15" t="s">
        <v>33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5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 customHeight="1" x14ac:dyDescent="0.25">
      <c r="A40" s="17" t="s">
        <v>34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5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customHeight="1" x14ac:dyDescent="0.25">
      <c r="A41" s="5" t="s">
        <v>35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5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customHeight="1" x14ac:dyDescent="0.25">
      <c r="A42" s="6">
        <v>43525</v>
      </c>
      <c r="B42" s="19">
        <v>6000</v>
      </c>
      <c r="C42" s="19"/>
      <c r="D42" s="19"/>
      <c r="E42" s="19"/>
      <c r="F42" s="19"/>
      <c r="G42" s="19"/>
      <c r="H42" s="7">
        <f>SUM(B42:G42)</f>
        <v>6000</v>
      </c>
      <c r="I42" s="7">
        <v>551.86</v>
      </c>
      <c r="J42" s="7">
        <v>642.33000000000004</v>
      </c>
      <c r="K42" s="7"/>
      <c r="L42" s="7">
        <f>SUM(I42:K42)</f>
        <v>1194.19</v>
      </c>
      <c r="M42" s="20">
        <f>H42-L42</f>
        <v>4805.8099999999995</v>
      </c>
      <c r="N42" s="5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75" customHeight="1" x14ac:dyDescent="0.25">
      <c r="A43" s="3" t="s">
        <v>36</v>
      </c>
      <c r="B43" s="12"/>
      <c r="F43" s="13"/>
      <c r="M43" s="21"/>
      <c r="N43" s="5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customHeight="1" x14ac:dyDescent="0.25">
      <c r="A44" s="5" t="s">
        <v>23</v>
      </c>
      <c r="B44" s="12"/>
      <c r="F44" s="13"/>
      <c r="M44" s="21"/>
      <c r="N44" s="5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customHeight="1" x14ac:dyDescent="0.25">
      <c r="A45" s="6">
        <v>43507</v>
      </c>
      <c r="B45" s="11">
        <v>2000</v>
      </c>
      <c r="C45" s="11"/>
      <c r="D45" s="11"/>
      <c r="E45" s="11"/>
      <c r="F45" s="11"/>
      <c r="G45" s="11"/>
      <c r="H45" s="7">
        <f>B45+C45+D45+E45+F45+G45</f>
        <v>2000</v>
      </c>
      <c r="I45" s="7"/>
      <c r="J45" s="7">
        <v>180</v>
      </c>
      <c r="K45" s="7">
        <f>120</f>
        <v>120</v>
      </c>
      <c r="L45" s="7">
        <f>I45+J45+K45</f>
        <v>300</v>
      </c>
      <c r="M45" s="20">
        <f>H45-L45</f>
        <v>1700</v>
      </c>
      <c r="N45" s="5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 customHeight="1" x14ac:dyDescent="0.25">
      <c r="A46" s="3" t="s">
        <v>37</v>
      </c>
      <c r="B46" s="12"/>
      <c r="F46" s="13"/>
      <c r="M46" s="21"/>
      <c r="N46" s="5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customHeight="1" x14ac:dyDescent="0.25">
      <c r="A47" s="5" t="s">
        <v>38</v>
      </c>
      <c r="B47" s="12"/>
      <c r="F47" s="13"/>
      <c r="M47" s="21"/>
      <c r="N47" s="5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customHeight="1" x14ac:dyDescent="0.25">
      <c r="A48" s="6">
        <v>43507</v>
      </c>
      <c r="B48" s="11">
        <v>1400</v>
      </c>
      <c r="C48" s="11"/>
      <c r="D48" s="11"/>
      <c r="E48" s="11"/>
      <c r="F48" s="11"/>
      <c r="G48" s="11"/>
      <c r="H48" s="7">
        <f>B48+C48+D48+E48+F48+G48</f>
        <v>1400</v>
      </c>
      <c r="I48" s="7"/>
      <c r="J48" s="7">
        <v>112</v>
      </c>
      <c r="K48" s="7">
        <f>84</f>
        <v>84</v>
      </c>
      <c r="L48" s="7">
        <f>I48+J48+K48</f>
        <v>196</v>
      </c>
      <c r="M48" s="20">
        <f>H48-L48</f>
        <v>1204</v>
      </c>
      <c r="N48" s="5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customHeight="1" x14ac:dyDescent="0.25">
      <c r="A49" s="3" t="s">
        <v>39</v>
      </c>
      <c r="B49" s="12"/>
      <c r="F49" s="13"/>
      <c r="M49" s="21"/>
      <c r="N49" s="5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customHeight="1" x14ac:dyDescent="0.25">
      <c r="A50" s="5" t="s">
        <v>40</v>
      </c>
      <c r="B50" s="12"/>
      <c r="F50" s="13"/>
      <c r="M50" s="21"/>
      <c r="N50" s="5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customHeight="1" x14ac:dyDescent="0.25">
      <c r="A51" s="6">
        <v>43507</v>
      </c>
      <c r="B51" s="11">
        <v>3800</v>
      </c>
      <c r="C51" s="11"/>
      <c r="D51" s="11"/>
      <c r="E51" s="11"/>
      <c r="F51" s="11"/>
      <c r="G51" s="11"/>
      <c r="H51" s="7">
        <f>B51+C51+D51+E51+F51+G51</f>
        <v>3800</v>
      </c>
      <c r="I51" s="7">
        <v>95.62</v>
      </c>
      <c r="J51" s="7">
        <v>418</v>
      </c>
      <c r="K51" s="7"/>
      <c r="L51" s="7">
        <f>I51+J51+K51</f>
        <v>513.62</v>
      </c>
      <c r="M51" s="20">
        <f>H51-L51</f>
        <v>3286.38</v>
      </c>
      <c r="N51" s="5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customHeight="1" x14ac:dyDescent="0.25">
      <c r="A52" s="8" t="s">
        <v>41</v>
      </c>
      <c r="B52" s="12"/>
      <c r="C52" s="12"/>
      <c r="D52" s="12"/>
      <c r="E52" s="12"/>
      <c r="F52" s="12"/>
      <c r="G52" s="12"/>
      <c r="H52" s="9"/>
      <c r="I52" s="9"/>
      <c r="J52" s="9"/>
      <c r="K52" s="9"/>
      <c r="L52" s="9"/>
      <c r="M52" s="22"/>
      <c r="N52" s="5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 customHeight="1" x14ac:dyDescent="0.25">
      <c r="A53" s="10" t="s">
        <v>38</v>
      </c>
      <c r="B53" s="12"/>
      <c r="C53" s="12"/>
      <c r="D53" s="12"/>
      <c r="E53" s="12"/>
      <c r="F53" s="12"/>
      <c r="G53" s="12"/>
      <c r="H53" s="9"/>
      <c r="I53" s="9"/>
      <c r="J53" s="9"/>
      <c r="K53" s="9"/>
      <c r="L53" s="9"/>
      <c r="M53" s="22"/>
      <c r="N53" s="5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customHeight="1" x14ac:dyDescent="0.25">
      <c r="A54" s="10">
        <v>43557</v>
      </c>
      <c r="B54" s="12">
        <v>1400</v>
      </c>
      <c r="C54" s="12"/>
      <c r="D54" s="12"/>
      <c r="E54" s="12"/>
      <c r="F54" s="12"/>
      <c r="G54" s="12"/>
      <c r="H54" s="23">
        <f>SUM(B54:G54)</f>
        <v>1400</v>
      </c>
      <c r="I54" s="9"/>
      <c r="J54" s="9">
        <v>112</v>
      </c>
      <c r="K54" s="9">
        <v>84</v>
      </c>
      <c r="L54" s="9">
        <f>I54+J54+K54</f>
        <v>196</v>
      </c>
      <c r="M54" s="24">
        <f>H54-L54</f>
        <v>1204</v>
      </c>
      <c r="N54" s="5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customHeight="1" x14ac:dyDescent="0.25">
      <c r="A55" s="25" t="s">
        <v>42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7"/>
      <c r="N55" s="5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75" customHeight="1" x14ac:dyDescent="0.25">
      <c r="A56" s="3" t="s">
        <v>43</v>
      </c>
      <c r="B56" s="12"/>
      <c r="F56" s="13"/>
      <c r="M56" s="21"/>
      <c r="N56" s="5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customHeight="1" x14ac:dyDescent="0.25">
      <c r="A57" s="5" t="s">
        <v>44</v>
      </c>
      <c r="B57" s="12"/>
      <c r="F57" s="13"/>
      <c r="M57" s="21"/>
      <c r="N57" s="5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customHeight="1" x14ac:dyDescent="0.25">
      <c r="A58" s="6">
        <v>43535</v>
      </c>
      <c r="B58" s="11">
        <v>3000</v>
      </c>
      <c r="C58" s="11"/>
      <c r="D58" s="11"/>
      <c r="E58" s="11"/>
      <c r="F58" s="11"/>
      <c r="G58" s="11"/>
      <c r="H58" s="7">
        <f>B58+C58+D58+E58+F58+G58</f>
        <v>3000</v>
      </c>
      <c r="I58" s="7">
        <v>29.01</v>
      </c>
      <c r="J58" s="7">
        <v>330</v>
      </c>
      <c r="K58" s="7"/>
      <c r="L58" s="7">
        <f>I58+J58+K58</f>
        <v>359.01</v>
      </c>
      <c r="M58" s="20">
        <f>H58-L58</f>
        <v>2640.99</v>
      </c>
      <c r="N58" s="5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customHeight="1" x14ac:dyDescent="0.25">
      <c r="A59" s="28" t="s">
        <v>45</v>
      </c>
      <c r="B59" s="26"/>
      <c r="C59" s="29"/>
      <c r="D59" s="29"/>
      <c r="E59" s="29"/>
      <c r="F59" s="30"/>
      <c r="G59" s="29"/>
      <c r="H59" s="29"/>
      <c r="I59" s="29"/>
      <c r="J59" s="29"/>
      <c r="K59" s="29"/>
      <c r="L59" s="29"/>
      <c r="M59" s="31"/>
      <c r="N59" s="5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customHeight="1" x14ac:dyDescent="0.25">
      <c r="A60" s="3" t="s">
        <v>46</v>
      </c>
      <c r="B60" s="12"/>
      <c r="F60" s="13"/>
      <c r="M60" s="21"/>
      <c r="N60" s="5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customHeight="1" x14ac:dyDescent="0.25">
      <c r="A61" s="5" t="s">
        <v>44</v>
      </c>
      <c r="B61" s="12"/>
      <c r="F61" s="13"/>
      <c r="M61" s="21"/>
      <c r="N61" s="5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customHeight="1" x14ac:dyDescent="0.25">
      <c r="A62" s="6">
        <v>43535</v>
      </c>
      <c r="B62" s="11">
        <v>3000</v>
      </c>
      <c r="C62" s="11"/>
      <c r="D62" s="11"/>
      <c r="E62" s="11"/>
      <c r="F62" s="11"/>
      <c r="G62" s="11"/>
      <c r="H62" s="7">
        <f>B62+C62+D62+E62+F62+G62</f>
        <v>3000</v>
      </c>
      <c r="I62" s="7">
        <v>43.23</v>
      </c>
      <c r="J62" s="7">
        <v>330</v>
      </c>
      <c r="K62" s="7"/>
      <c r="L62" s="7">
        <f>I62+J62+K62</f>
        <v>373.23</v>
      </c>
      <c r="M62" s="20">
        <f>H62-L62</f>
        <v>2626.77</v>
      </c>
      <c r="N62" s="5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customHeight="1" x14ac:dyDescent="0.25">
      <c r="A63" s="8" t="s">
        <v>47</v>
      </c>
      <c r="B63" s="12"/>
      <c r="C63" s="12"/>
      <c r="D63" s="12"/>
      <c r="E63" s="12"/>
      <c r="F63" s="12"/>
      <c r="G63" s="12"/>
      <c r="H63" s="9"/>
      <c r="I63" s="9"/>
      <c r="J63" s="9"/>
      <c r="K63" s="9"/>
      <c r="L63" s="9"/>
      <c r="M63" s="9"/>
      <c r="N63" s="5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customHeight="1" x14ac:dyDescent="0.25">
      <c r="A64" s="10" t="s">
        <v>23</v>
      </c>
      <c r="B64" s="12"/>
      <c r="C64" s="12"/>
      <c r="D64" s="12"/>
      <c r="E64" s="12"/>
      <c r="F64" s="12"/>
      <c r="G64" s="12"/>
      <c r="H64" s="9"/>
      <c r="I64" s="9"/>
      <c r="J64" s="9"/>
      <c r="K64" s="9"/>
      <c r="L64" s="9"/>
      <c r="M64" s="9"/>
      <c r="N64" s="5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customHeight="1" x14ac:dyDescent="0.25">
      <c r="A65" s="10">
        <v>43567</v>
      </c>
      <c r="B65" s="12">
        <v>2000</v>
      </c>
      <c r="C65" s="12"/>
      <c r="D65" s="12"/>
      <c r="E65" s="12"/>
      <c r="F65" s="12"/>
      <c r="G65" s="12"/>
      <c r="H65" s="23">
        <f>SUM(B65:G65)</f>
        <v>2000</v>
      </c>
      <c r="I65" s="9"/>
      <c r="J65" s="9">
        <v>180</v>
      </c>
      <c r="K65" s="9"/>
      <c r="L65" s="9">
        <f>SUM(I65:K65)</f>
        <v>180</v>
      </c>
      <c r="M65" s="24">
        <f>H65-L65</f>
        <v>1820</v>
      </c>
      <c r="N65" s="5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customHeight="1" x14ac:dyDescent="0.25">
      <c r="A66" s="28" t="s">
        <v>48</v>
      </c>
      <c r="B66" s="26"/>
      <c r="C66" s="29"/>
      <c r="D66" s="29"/>
      <c r="E66" s="29"/>
      <c r="F66" s="30"/>
      <c r="G66" s="29"/>
      <c r="H66" s="29"/>
      <c r="I66" s="29"/>
      <c r="J66" s="29"/>
      <c r="K66" s="29"/>
      <c r="L66" s="29"/>
      <c r="M66" s="29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customHeight="1" x14ac:dyDescent="0.25">
      <c r="A67" s="3" t="s">
        <v>49</v>
      </c>
      <c r="B67" s="12"/>
      <c r="F67" s="13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customHeight="1" x14ac:dyDescent="0.25">
      <c r="A68" s="5" t="s">
        <v>23</v>
      </c>
      <c r="B68" s="12"/>
      <c r="F68" s="13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customHeight="1" x14ac:dyDescent="0.25">
      <c r="A69" s="6">
        <v>43535</v>
      </c>
      <c r="B69" s="11">
        <v>2000</v>
      </c>
      <c r="C69" s="11"/>
      <c r="D69" s="11"/>
      <c r="E69" s="11"/>
      <c r="F69" s="11"/>
      <c r="G69" s="11"/>
      <c r="H69" s="7">
        <f>B69+C69+D69+E69+F69+G69</f>
        <v>2000</v>
      </c>
      <c r="I69" s="7"/>
      <c r="J69" s="7">
        <v>180</v>
      </c>
      <c r="K69" s="7">
        <v>120</v>
      </c>
      <c r="L69" s="9">
        <f>SUM(I69:K69)</f>
        <v>300</v>
      </c>
      <c r="M69" s="20">
        <f>H69-L69</f>
        <v>1700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customHeight="1" x14ac:dyDescent="0.25">
      <c r="A70" s="28" t="s">
        <v>50</v>
      </c>
      <c r="B70" s="26"/>
      <c r="C70" s="29"/>
      <c r="D70" s="29"/>
      <c r="E70" s="29"/>
      <c r="F70" s="30"/>
      <c r="G70" s="29"/>
      <c r="H70" s="29"/>
      <c r="I70" s="29"/>
      <c r="J70" s="29"/>
      <c r="K70" s="29"/>
      <c r="L70" s="29"/>
      <c r="M70" s="29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customHeight="1" x14ac:dyDescent="0.25">
      <c r="A71" s="3" t="s">
        <v>51</v>
      </c>
      <c r="B71" s="12"/>
      <c r="F71" s="13"/>
      <c r="M71" s="1"/>
      <c r="N71" s="1"/>
    </row>
    <row r="72" spans="1:33" ht="15.75" customHeight="1" x14ac:dyDescent="0.25">
      <c r="A72" s="5" t="s">
        <v>52</v>
      </c>
      <c r="B72" s="12"/>
      <c r="F72" s="13"/>
      <c r="M72" s="1"/>
      <c r="N72" s="1"/>
    </row>
    <row r="73" spans="1:33" ht="15.75" customHeight="1" x14ac:dyDescent="0.25">
      <c r="A73" s="6">
        <v>43556</v>
      </c>
      <c r="B73" s="11">
        <v>4000</v>
      </c>
      <c r="C73" s="11"/>
      <c r="D73" s="11"/>
      <c r="E73" s="11"/>
      <c r="F73" s="11"/>
      <c r="G73" s="11"/>
      <c r="H73" s="7">
        <f>B73+C73+D73+E73+F73+G73</f>
        <v>4000</v>
      </c>
      <c r="I73" s="7">
        <v>122.32</v>
      </c>
      <c r="J73" s="7">
        <v>440</v>
      </c>
      <c r="K73" s="7"/>
      <c r="L73" s="7">
        <f>I73+J73+K73</f>
        <v>562.31999999999994</v>
      </c>
      <c r="M73" s="20">
        <f>H73-L73</f>
        <v>3437.6800000000003</v>
      </c>
      <c r="N73" s="1"/>
    </row>
    <row r="74" spans="1:33" ht="15.75" customHeight="1" x14ac:dyDescent="0.2">
      <c r="A74" s="226"/>
      <c r="B74" s="227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</row>
    <row r="75" spans="1:33" ht="15.75" customHeight="1" x14ac:dyDescent="0.2">
      <c r="A75" s="227"/>
      <c r="B75" s="227"/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5"/>
    </row>
    <row r="76" spans="1:33" ht="15.75" customHeight="1" x14ac:dyDescent="0.25">
      <c r="M76" s="32"/>
    </row>
    <row r="77" spans="1:33" ht="15.75" customHeight="1" x14ac:dyDescent="0.25">
      <c r="M77" s="32"/>
    </row>
    <row r="78" spans="1:33" ht="15.75" customHeight="1" x14ac:dyDescent="0.2"/>
    <row r="79" spans="1:33" ht="15.75" customHeight="1" x14ac:dyDescent="0.2"/>
    <row r="80" spans="1:33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7">
    <mergeCell ref="J5:J7"/>
    <mergeCell ref="K5:K7"/>
    <mergeCell ref="L5:L7"/>
    <mergeCell ref="M5:M7"/>
    <mergeCell ref="A1:M1"/>
    <mergeCell ref="B5:B7"/>
    <mergeCell ref="C5:C7"/>
    <mergeCell ref="D5:D7"/>
    <mergeCell ref="E5:E7"/>
    <mergeCell ref="F5:F7"/>
    <mergeCell ref="G5:G7"/>
    <mergeCell ref="A74:N75"/>
    <mergeCell ref="H5:H7"/>
    <mergeCell ref="I5:I7"/>
    <mergeCell ref="B36:B38"/>
    <mergeCell ref="C36:C38"/>
    <mergeCell ref="D36:D38"/>
    <mergeCell ref="E36:E38"/>
    <mergeCell ref="F36:F38"/>
    <mergeCell ref="I36:I38"/>
    <mergeCell ref="B8:M8"/>
    <mergeCell ref="G36:G38"/>
    <mergeCell ref="H36:H38"/>
    <mergeCell ref="J36:J38"/>
    <mergeCell ref="K36:K38"/>
    <mergeCell ref="L36:L38"/>
    <mergeCell ref="M36:M38"/>
  </mergeCells>
  <pageMargins left="0.511811024" right="0.511811024" top="0.78740157499999996" bottom="0.78740157499999996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1000"/>
  <sheetViews>
    <sheetView showGridLines="0" workbookViewId="0"/>
  </sheetViews>
  <sheetFormatPr defaultColWidth="12.625" defaultRowHeight="15" customHeight="1" x14ac:dyDescent="0.2"/>
  <cols>
    <col min="1" max="1" width="23.5" customWidth="1"/>
    <col min="2" max="2" width="10.875" customWidth="1"/>
    <col min="3" max="3" width="9.25" customWidth="1"/>
    <col min="4" max="5" width="9.125" customWidth="1"/>
    <col min="6" max="6" width="9.625" customWidth="1"/>
    <col min="7" max="7" width="9.25" customWidth="1"/>
    <col min="8" max="8" width="10.375" customWidth="1"/>
    <col min="9" max="11" width="8" customWidth="1"/>
    <col min="12" max="12" width="10.25" customWidth="1"/>
    <col min="13" max="13" width="15.375" customWidth="1"/>
    <col min="14" max="33" width="8" customWidth="1"/>
  </cols>
  <sheetData>
    <row r="1" spans="1:33" x14ac:dyDescent="0.25">
      <c r="A1" s="238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5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25">
      <c r="A2" s="90" t="s">
        <v>60</v>
      </c>
      <c r="B2" s="89">
        <v>2019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5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.75" customHeight="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5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4.25" customHeight="1" x14ac:dyDescent="0.25">
      <c r="A4" s="91" t="s">
        <v>2</v>
      </c>
      <c r="B4" s="231" t="s">
        <v>3</v>
      </c>
      <c r="C4" s="231" t="s">
        <v>4</v>
      </c>
      <c r="D4" s="228" t="s">
        <v>5</v>
      </c>
      <c r="E4" s="228" t="s">
        <v>6</v>
      </c>
      <c r="F4" s="228" t="s">
        <v>7</v>
      </c>
      <c r="G4" s="231" t="s">
        <v>8</v>
      </c>
      <c r="H4" s="228" t="s">
        <v>9</v>
      </c>
      <c r="I4" s="231" t="s">
        <v>10</v>
      </c>
      <c r="J4" s="231" t="s">
        <v>11</v>
      </c>
      <c r="K4" s="228" t="s">
        <v>12</v>
      </c>
      <c r="L4" s="228" t="s">
        <v>13</v>
      </c>
      <c r="M4" s="228" t="s">
        <v>14</v>
      </c>
      <c r="N4" s="5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75" customHeight="1" x14ac:dyDescent="0.25">
      <c r="A5" s="90" t="s">
        <v>15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5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75" customHeight="1" x14ac:dyDescent="0.25">
      <c r="A6" s="92" t="s">
        <v>16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5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20.25" customHeight="1" x14ac:dyDescent="0.25">
      <c r="A7" s="2" t="s">
        <v>17</v>
      </c>
      <c r="B7" s="235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5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8.75" customHeight="1" x14ac:dyDescent="0.25">
      <c r="A8" s="3" t="s">
        <v>18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5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75" customHeight="1" x14ac:dyDescent="0.25">
      <c r="A9" s="5" t="s">
        <v>19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5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8.75" customHeight="1" x14ac:dyDescent="0.25">
      <c r="A10" s="6">
        <v>43544</v>
      </c>
      <c r="B10" s="33">
        <v>6000</v>
      </c>
      <c r="C10" s="33"/>
      <c r="D10" s="33"/>
      <c r="E10" s="33"/>
      <c r="F10" s="33"/>
      <c r="G10" s="33"/>
      <c r="H10" s="33">
        <f>SUM(B10:G10)</f>
        <v>6000</v>
      </c>
      <c r="I10" s="33">
        <v>604</v>
      </c>
      <c r="J10" s="33">
        <v>642.33000000000004</v>
      </c>
      <c r="K10" s="33"/>
      <c r="L10" s="33">
        <f>SUM(I10:K10)</f>
        <v>1246.33</v>
      </c>
      <c r="M10" s="33">
        <f>H10-L10</f>
        <v>4753.67</v>
      </c>
      <c r="N10" s="5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8.75" customHeight="1" x14ac:dyDescent="0.25">
      <c r="A11" s="8" t="s">
        <v>20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5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8.75" customHeight="1" x14ac:dyDescent="0.25">
      <c r="A12" s="10" t="s">
        <v>21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5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8.75" customHeight="1" x14ac:dyDescent="0.25">
      <c r="A13" s="6">
        <v>43606</v>
      </c>
      <c r="B13" s="11">
        <v>1400</v>
      </c>
      <c r="C13" s="11"/>
      <c r="D13" s="11"/>
      <c r="E13" s="11"/>
      <c r="F13" s="11"/>
      <c r="G13" s="11"/>
      <c r="H13" s="33">
        <f>SUM(B13:G13)</f>
        <v>1400</v>
      </c>
      <c r="I13" s="33"/>
      <c r="J13" s="33">
        <v>112</v>
      </c>
      <c r="K13" s="33">
        <f>84</f>
        <v>84</v>
      </c>
      <c r="L13" s="33">
        <f>SUM(I13:K13)</f>
        <v>196</v>
      </c>
      <c r="M13" s="33">
        <f>H13-L13</f>
        <v>1204</v>
      </c>
      <c r="N13" s="5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x14ac:dyDescent="0.25">
      <c r="A14" s="3" t="s">
        <v>58</v>
      </c>
      <c r="B14" s="12"/>
      <c r="C14" s="34"/>
      <c r="D14" s="34"/>
      <c r="E14" s="34"/>
      <c r="F14" s="35"/>
      <c r="G14" s="34"/>
      <c r="H14" s="36"/>
      <c r="I14" s="36"/>
      <c r="J14" s="36"/>
      <c r="K14" s="36"/>
      <c r="L14" s="36"/>
      <c r="M14" s="36"/>
      <c r="N14" s="5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x14ac:dyDescent="0.25">
      <c r="A15" s="5" t="s">
        <v>59</v>
      </c>
      <c r="B15" s="12"/>
      <c r="C15" s="34"/>
      <c r="D15" s="34"/>
      <c r="E15" s="34"/>
      <c r="F15" s="35"/>
      <c r="G15" s="34"/>
      <c r="H15" s="36"/>
      <c r="I15" s="36"/>
      <c r="J15" s="36"/>
      <c r="K15" s="36"/>
      <c r="L15" s="36"/>
      <c r="M15" s="36"/>
      <c r="N15" s="5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x14ac:dyDescent="0.25">
      <c r="A16" s="6">
        <v>43623</v>
      </c>
      <c r="B16" s="11">
        <v>2000</v>
      </c>
      <c r="C16" s="11"/>
      <c r="D16" s="11"/>
      <c r="E16" s="11"/>
      <c r="F16" s="11"/>
      <c r="G16" s="11"/>
      <c r="H16" s="33">
        <f>SUM(B16:G16)</f>
        <v>2000</v>
      </c>
      <c r="I16" s="33"/>
      <c r="J16" s="33">
        <v>180</v>
      </c>
      <c r="K16" s="33">
        <f>120</f>
        <v>120</v>
      </c>
      <c r="L16" s="33">
        <f>SUM(I16:K16)</f>
        <v>300</v>
      </c>
      <c r="M16" s="33">
        <f>H16-L16</f>
        <v>1700</v>
      </c>
      <c r="N16" s="5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x14ac:dyDescent="0.25">
      <c r="A17" s="3" t="s">
        <v>22</v>
      </c>
      <c r="B17" s="12"/>
      <c r="C17" s="34"/>
      <c r="D17" s="34"/>
      <c r="E17" s="34"/>
      <c r="F17" s="35"/>
      <c r="G17" s="34"/>
      <c r="H17" s="36"/>
      <c r="I17" s="36"/>
      <c r="J17" s="36"/>
      <c r="K17" s="36"/>
      <c r="L17" s="36"/>
      <c r="M17" s="36"/>
      <c r="N17" s="5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25">
      <c r="A18" s="5" t="s">
        <v>23</v>
      </c>
      <c r="B18" s="12"/>
      <c r="C18" s="34"/>
      <c r="D18" s="34"/>
      <c r="E18" s="34"/>
      <c r="F18" s="35"/>
      <c r="G18" s="34"/>
      <c r="H18" s="36"/>
      <c r="I18" s="36"/>
      <c r="J18" s="36"/>
      <c r="K18" s="36"/>
      <c r="L18" s="36"/>
      <c r="M18" s="36"/>
      <c r="N18" s="5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25">
      <c r="A19" s="6">
        <v>43507</v>
      </c>
      <c r="B19" s="11">
        <v>2000</v>
      </c>
      <c r="C19" s="11"/>
      <c r="D19" s="11"/>
      <c r="E19" s="11"/>
      <c r="F19" s="11"/>
      <c r="G19" s="11"/>
      <c r="H19" s="33">
        <f>B19+C19+D19+E19+F19+G19</f>
        <v>2000</v>
      </c>
      <c r="I19" s="33"/>
      <c r="J19" s="33">
        <v>180</v>
      </c>
      <c r="K19" s="33">
        <f>120</f>
        <v>120</v>
      </c>
      <c r="L19" s="33">
        <f>I19+J19+K19</f>
        <v>300</v>
      </c>
      <c r="M19" s="33">
        <f>H19-L19</f>
        <v>1700</v>
      </c>
      <c r="N19" s="5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x14ac:dyDescent="0.25">
      <c r="A20" s="8" t="s">
        <v>24</v>
      </c>
      <c r="B20" s="12"/>
      <c r="C20" s="12"/>
      <c r="D20" s="12"/>
      <c r="E20" s="12"/>
      <c r="F20" s="12"/>
      <c r="G20" s="12"/>
      <c r="H20" s="23"/>
      <c r="I20" s="23"/>
      <c r="J20" s="23"/>
      <c r="K20" s="23"/>
      <c r="L20" s="23"/>
      <c r="M20" s="23"/>
      <c r="N20" s="5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75" customHeight="1" x14ac:dyDescent="0.25">
      <c r="A21" s="10" t="s">
        <v>21</v>
      </c>
      <c r="B21" s="12"/>
      <c r="C21" s="12"/>
      <c r="D21" s="12"/>
      <c r="E21" s="12"/>
      <c r="F21" s="12"/>
      <c r="G21" s="12"/>
      <c r="H21" s="23"/>
      <c r="I21" s="23"/>
      <c r="J21" s="23"/>
      <c r="K21" s="23"/>
      <c r="L21" s="23"/>
      <c r="M21" s="23"/>
      <c r="N21" s="5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75" customHeight="1" x14ac:dyDescent="0.25">
      <c r="A22" s="6">
        <v>43606</v>
      </c>
      <c r="B22" s="11">
        <v>1400</v>
      </c>
      <c r="C22" s="11"/>
      <c r="D22" s="11"/>
      <c r="E22" s="11"/>
      <c r="F22" s="11"/>
      <c r="G22" s="11"/>
      <c r="H22" s="33">
        <f>B22+C22+D22+E22+F22+G22</f>
        <v>1400</v>
      </c>
      <c r="I22" s="33"/>
      <c r="J22" s="33">
        <v>112</v>
      </c>
      <c r="K22" s="33">
        <f>84</f>
        <v>84</v>
      </c>
      <c r="L22" s="33">
        <f>I22+J22+K22</f>
        <v>196</v>
      </c>
      <c r="M22" s="33">
        <f>H22-L22</f>
        <v>1204</v>
      </c>
      <c r="N22" s="5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75" customHeight="1" x14ac:dyDescent="0.25">
      <c r="A23" s="3" t="s">
        <v>25</v>
      </c>
      <c r="B23" s="12"/>
      <c r="C23" s="34"/>
      <c r="D23" s="34"/>
      <c r="E23" s="34"/>
      <c r="F23" s="35"/>
      <c r="G23" s="34"/>
      <c r="H23" s="36"/>
      <c r="I23" s="36"/>
      <c r="J23" s="36"/>
      <c r="K23" s="36"/>
      <c r="L23" s="36"/>
      <c r="M23" s="36"/>
      <c r="N23" s="5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75" customHeight="1" x14ac:dyDescent="0.25">
      <c r="A24" s="5" t="s">
        <v>26</v>
      </c>
      <c r="B24" s="12"/>
      <c r="C24" s="34"/>
      <c r="D24" s="34"/>
      <c r="E24" s="34"/>
      <c r="F24" s="35"/>
      <c r="G24" s="34"/>
      <c r="H24" s="36"/>
      <c r="I24" s="36"/>
      <c r="J24" s="36"/>
      <c r="K24" s="36"/>
      <c r="L24" s="36"/>
      <c r="M24" s="36"/>
      <c r="N24" s="5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75" customHeight="1" x14ac:dyDescent="0.25">
      <c r="A25" s="6">
        <v>43507</v>
      </c>
      <c r="B25" s="11">
        <v>6000</v>
      </c>
      <c r="C25" s="11"/>
      <c r="D25" s="11"/>
      <c r="E25" s="11"/>
      <c r="F25" s="11"/>
      <c r="G25" s="11"/>
      <c r="H25" s="33">
        <f>B25+C25+D25+E25+F25+G25</f>
        <v>6000</v>
      </c>
      <c r="I25" s="33">
        <v>604</v>
      </c>
      <c r="J25" s="33">
        <v>642.33000000000004</v>
      </c>
      <c r="K25" s="33"/>
      <c r="L25" s="33">
        <f>I25+J25+K25</f>
        <v>1246.33</v>
      </c>
      <c r="M25" s="33">
        <f>H25-L25</f>
        <v>4753.67</v>
      </c>
      <c r="N25" s="5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75" customHeight="1" x14ac:dyDescent="0.25">
      <c r="A26" s="3" t="s">
        <v>27</v>
      </c>
      <c r="B26" s="12"/>
      <c r="C26" s="34"/>
      <c r="D26" s="34"/>
      <c r="E26" s="34"/>
      <c r="F26" s="35"/>
      <c r="G26" s="34"/>
      <c r="H26" s="36"/>
      <c r="I26" s="36"/>
      <c r="J26" s="36"/>
      <c r="K26" s="36"/>
      <c r="L26" s="36"/>
      <c r="M26" s="36"/>
      <c r="N26" s="5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75" customHeight="1" x14ac:dyDescent="0.25">
      <c r="A27" s="5" t="s">
        <v>28</v>
      </c>
      <c r="B27" s="12"/>
      <c r="C27" s="34"/>
      <c r="D27" s="34"/>
      <c r="E27" s="34"/>
      <c r="F27" s="35"/>
      <c r="G27" s="34"/>
      <c r="H27" s="36"/>
      <c r="I27" s="36"/>
      <c r="J27" s="36"/>
      <c r="K27" s="36"/>
      <c r="L27" s="36"/>
      <c r="M27" s="36"/>
      <c r="N27" s="5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75" customHeight="1" x14ac:dyDescent="0.25">
      <c r="A28" s="6">
        <v>43507</v>
      </c>
      <c r="B28" s="11">
        <v>6000</v>
      </c>
      <c r="C28" s="11"/>
      <c r="D28" s="11"/>
      <c r="E28" s="11"/>
      <c r="F28" s="11"/>
      <c r="G28" s="11"/>
      <c r="H28" s="33">
        <f>B28+C28+D28+E28+F28+G28</f>
        <v>6000</v>
      </c>
      <c r="I28" s="33">
        <v>499.72</v>
      </c>
      <c r="J28" s="33">
        <v>642.33000000000004</v>
      </c>
      <c r="K28" s="33"/>
      <c r="L28" s="33">
        <f>I28+J28+K28</f>
        <v>1142.0500000000002</v>
      </c>
      <c r="M28" s="33">
        <f>H28-L28</f>
        <v>4857.95</v>
      </c>
      <c r="N28" s="5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75" customHeight="1" x14ac:dyDescent="0.25">
      <c r="A29" s="3" t="s">
        <v>61</v>
      </c>
      <c r="B29" s="12"/>
      <c r="C29" s="34"/>
      <c r="D29" s="34"/>
      <c r="E29" s="34"/>
      <c r="F29" s="35"/>
      <c r="G29" s="34"/>
      <c r="H29" s="36"/>
      <c r="I29" s="36"/>
      <c r="J29" s="36"/>
      <c r="K29" s="36"/>
      <c r="L29" s="36"/>
      <c r="M29" s="36"/>
      <c r="N29" s="5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75" customHeight="1" x14ac:dyDescent="0.25">
      <c r="A30" s="5" t="s">
        <v>59</v>
      </c>
      <c r="B30" s="12"/>
      <c r="C30" s="34"/>
      <c r="D30" s="34"/>
      <c r="E30" s="34"/>
      <c r="F30" s="35"/>
      <c r="G30" s="34"/>
      <c r="H30" s="36"/>
      <c r="I30" s="36"/>
      <c r="J30" s="36"/>
      <c r="K30" s="36"/>
      <c r="L30" s="36"/>
      <c r="M30" s="36"/>
      <c r="N30" s="5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75" customHeight="1" x14ac:dyDescent="0.25">
      <c r="A31" s="6">
        <v>43678</v>
      </c>
      <c r="B31" s="11">
        <v>2000</v>
      </c>
      <c r="C31" s="11"/>
      <c r="D31" s="11"/>
      <c r="E31" s="11"/>
      <c r="F31" s="11"/>
      <c r="G31" s="11"/>
      <c r="H31" s="33">
        <f>B31+C31+D31+E31+F31+G31</f>
        <v>2000</v>
      </c>
      <c r="I31" s="33">
        <v>0</v>
      </c>
      <c r="J31" s="33">
        <v>180</v>
      </c>
      <c r="K31" s="33">
        <f>120+120</f>
        <v>240</v>
      </c>
      <c r="L31" s="33">
        <f>I31+J31+K31</f>
        <v>420</v>
      </c>
      <c r="M31" s="33">
        <f>H31-L31</f>
        <v>1580</v>
      </c>
      <c r="N31" s="5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75" customHeight="1" x14ac:dyDescent="0.25">
      <c r="A32" s="3" t="s">
        <v>62</v>
      </c>
      <c r="B32" s="12"/>
      <c r="C32" s="34"/>
      <c r="D32" s="34"/>
      <c r="E32" s="34"/>
      <c r="F32" s="35"/>
      <c r="G32" s="34"/>
      <c r="H32" s="36"/>
      <c r="I32" s="36"/>
      <c r="J32" s="36"/>
      <c r="K32" s="36"/>
      <c r="L32" s="36"/>
      <c r="M32" s="36"/>
      <c r="N32" s="5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75" customHeight="1" x14ac:dyDescent="0.25">
      <c r="A33" s="5" t="s">
        <v>59</v>
      </c>
      <c r="B33" s="12"/>
      <c r="C33" s="34"/>
      <c r="D33" s="34"/>
      <c r="E33" s="34"/>
      <c r="F33" s="35"/>
      <c r="G33" s="34"/>
      <c r="H33" s="36"/>
      <c r="I33" s="36"/>
      <c r="J33" s="36"/>
      <c r="K33" s="36"/>
      <c r="L33" s="36"/>
      <c r="M33" s="36"/>
      <c r="N33" s="5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75" customHeight="1" x14ac:dyDescent="0.25">
      <c r="A34" s="6">
        <v>43703</v>
      </c>
      <c r="B34" s="11">
        <v>280</v>
      </c>
      <c r="C34" s="11"/>
      <c r="D34" s="11"/>
      <c r="E34" s="11"/>
      <c r="F34" s="11"/>
      <c r="G34" s="11"/>
      <c r="H34" s="33">
        <f>B34+C34+D34+E34+F34+G34</f>
        <v>280</v>
      </c>
      <c r="I34" s="33">
        <v>0</v>
      </c>
      <c r="J34" s="33">
        <v>22.4</v>
      </c>
      <c r="K34" s="33">
        <f>84+16.8</f>
        <v>100.8</v>
      </c>
      <c r="L34" s="33">
        <f>I34+J34+K34</f>
        <v>123.19999999999999</v>
      </c>
      <c r="M34" s="33">
        <f>H34-L34</f>
        <v>156.80000000000001</v>
      </c>
      <c r="N34" s="5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75" customHeight="1" x14ac:dyDescent="0.25">
      <c r="A35" s="3" t="s">
        <v>29</v>
      </c>
      <c r="B35" s="12"/>
      <c r="C35" s="34"/>
      <c r="D35" s="34"/>
      <c r="E35" s="34"/>
      <c r="F35" s="35"/>
      <c r="G35" s="34"/>
      <c r="H35" s="36"/>
      <c r="I35" s="36"/>
      <c r="J35" s="36"/>
      <c r="K35" s="36"/>
      <c r="L35" s="36"/>
      <c r="M35" s="36"/>
      <c r="N35" s="5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75" customHeight="1" x14ac:dyDescent="0.25">
      <c r="A36" s="5" t="s">
        <v>30</v>
      </c>
      <c r="B36" s="12"/>
      <c r="C36" s="34"/>
      <c r="D36" s="34"/>
      <c r="E36" s="34"/>
      <c r="F36" s="35"/>
      <c r="G36" s="34"/>
      <c r="H36" s="36"/>
      <c r="I36" s="36"/>
      <c r="J36" s="36"/>
      <c r="K36" s="36"/>
      <c r="L36" s="36"/>
      <c r="M36" s="36"/>
      <c r="N36" s="5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75" customHeight="1" x14ac:dyDescent="0.25">
      <c r="A37" s="6">
        <v>43507</v>
      </c>
      <c r="B37" s="11">
        <v>6000</v>
      </c>
      <c r="C37" s="11"/>
      <c r="D37" s="11"/>
      <c r="E37" s="11"/>
      <c r="F37" s="11"/>
      <c r="G37" s="11"/>
      <c r="H37" s="33">
        <f>B37+C37+D37+E37+F37+G37</f>
        <v>6000</v>
      </c>
      <c r="I37" s="33">
        <v>700.79</v>
      </c>
      <c r="J37" s="33">
        <v>290.38</v>
      </c>
      <c r="K37" s="33"/>
      <c r="L37" s="33">
        <f>I37+J37+K37</f>
        <v>991.17</v>
      </c>
      <c r="M37" s="33">
        <f>H37-L37</f>
        <v>5008.83</v>
      </c>
      <c r="N37" s="5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75" customHeight="1" x14ac:dyDescent="0.25">
      <c r="A38" s="3" t="s">
        <v>31</v>
      </c>
      <c r="B38" s="12"/>
      <c r="C38" s="34"/>
      <c r="D38" s="34"/>
      <c r="E38" s="34"/>
      <c r="F38" s="35"/>
      <c r="G38" s="34"/>
      <c r="H38" s="36"/>
      <c r="I38" s="36"/>
      <c r="J38" s="36"/>
      <c r="K38" s="36"/>
      <c r="L38" s="36"/>
      <c r="M38" s="36"/>
      <c r="N38" s="5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 customHeight="1" x14ac:dyDescent="0.25">
      <c r="A39" s="5" t="s">
        <v>32</v>
      </c>
      <c r="B39" s="12"/>
      <c r="C39" s="34"/>
      <c r="D39" s="34"/>
      <c r="E39" s="34"/>
      <c r="F39" s="35"/>
      <c r="G39" s="34"/>
      <c r="H39" s="36"/>
      <c r="I39" s="36"/>
      <c r="J39" s="36"/>
      <c r="K39" s="36"/>
      <c r="L39" s="36"/>
      <c r="M39" s="36"/>
      <c r="N39" s="5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3.5" customHeight="1" x14ac:dyDescent="0.25">
      <c r="A40" s="97">
        <v>43507</v>
      </c>
      <c r="B40" s="98">
        <v>7000</v>
      </c>
      <c r="C40" s="98"/>
      <c r="D40" s="98"/>
      <c r="E40" s="98"/>
      <c r="F40" s="98"/>
      <c r="G40" s="98"/>
      <c r="H40" s="33">
        <f>B40+C40+D40+E40+F40+G40</f>
        <v>7000</v>
      </c>
      <c r="I40" s="33">
        <v>774.72</v>
      </c>
      <c r="J40" s="33">
        <v>642.33000000000004</v>
      </c>
      <c r="K40" s="33"/>
      <c r="L40" s="33">
        <f>I40+J40+K40</f>
        <v>1417.0500000000002</v>
      </c>
      <c r="M40" s="33">
        <f>H40-L40</f>
        <v>5582.95</v>
      </c>
      <c r="N40" s="5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customHeight="1" x14ac:dyDescent="0.25">
      <c r="A41" s="14" t="s">
        <v>2</v>
      </c>
      <c r="B41" s="231" t="s">
        <v>3</v>
      </c>
      <c r="C41" s="231" t="s">
        <v>4</v>
      </c>
      <c r="D41" s="228" t="s">
        <v>5</v>
      </c>
      <c r="E41" s="228" t="s">
        <v>6</v>
      </c>
      <c r="F41" s="228" t="s">
        <v>7</v>
      </c>
      <c r="G41" s="231" t="s">
        <v>8</v>
      </c>
      <c r="H41" s="228" t="s">
        <v>9</v>
      </c>
      <c r="I41" s="231" t="s">
        <v>10</v>
      </c>
      <c r="J41" s="231" t="s">
        <v>11</v>
      </c>
      <c r="K41" s="228" t="s">
        <v>12</v>
      </c>
      <c r="L41" s="228" t="s">
        <v>13</v>
      </c>
      <c r="M41" s="228" t="s">
        <v>14</v>
      </c>
      <c r="N41" s="5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customHeight="1" x14ac:dyDescent="0.25">
      <c r="A42" s="90" t="s">
        <v>15</v>
      </c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5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75" customHeight="1" x14ac:dyDescent="0.25">
      <c r="A43" s="96" t="s">
        <v>16</v>
      </c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5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customHeight="1" x14ac:dyDescent="0.25">
      <c r="A44" s="15" t="s">
        <v>33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5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customHeight="1" x14ac:dyDescent="0.25">
      <c r="A45" s="17" t="s">
        <v>34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5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 customHeight="1" x14ac:dyDescent="0.25">
      <c r="A46" s="5" t="s">
        <v>35</v>
      </c>
      <c r="B46" s="12"/>
      <c r="C46" s="12"/>
      <c r="D46" s="12"/>
      <c r="E46" s="12"/>
      <c r="F46" s="12"/>
      <c r="G46" s="12"/>
      <c r="H46" s="23"/>
      <c r="I46" s="23"/>
      <c r="J46" s="23"/>
      <c r="K46" s="23"/>
      <c r="L46" s="23"/>
      <c r="M46" s="23"/>
      <c r="N46" s="5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customHeight="1" x14ac:dyDescent="0.25">
      <c r="A47" s="6">
        <v>43525</v>
      </c>
      <c r="B47" s="11">
        <v>6000</v>
      </c>
      <c r="C47" s="11"/>
      <c r="D47" s="11"/>
      <c r="E47" s="11"/>
      <c r="F47" s="11"/>
      <c r="G47" s="11"/>
      <c r="H47" s="33">
        <f>SUM(B47:G47)</f>
        <v>6000</v>
      </c>
      <c r="I47" s="33">
        <v>551.86</v>
      </c>
      <c r="J47" s="33">
        <v>642.33000000000004</v>
      </c>
      <c r="K47" s="33"/>
      <c r="L47" s="33">
        <f>SUM(I47:K47)</f>
        <v>1194.19</v>
      </c>
      <c r="M47" s="33">
        <f>H47-L47</f>
        <v>4805.8099999999995</v>
      </c>
      <c r="N47" s="5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customHeight="1" x14ac:dyDescent="0.25">
      <c r="A48" s="3" t="s">
        <v>36</v>
      </c>
      <c r="B48" s="12"/>
      <c r="C48" s="34"/>
      <c r="D48" s="34"/>
      <c r="E48" s="34"/>
      <c r="F48" s="35"/>
      <c r="G48" s="34"/>
      <c r="H48" s="36"/>
      <c r="I48" s="36"/>
      <c r="J48" s="36"/>
      <c r="K48" s="36"/>
      <c r="L48" s="36"/>
      <c r="M48" s="36"/>
      <c r="N48" s="5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customHeight="1" x14ac:dyDescent="0.25">
      <c r="A49" s="5" t="s">
        <v>23</v>
      </c>
      <c r="B49" s="12"/>
      <c r="C49" s="34"/>
      <c r="D49" s="34"/>
      <c r="E49" s="34"/>
      <c r="F49" s="35"/>
      <c r="G49" s="34"/>
      <c r="H49" s="36"/>
      <c r="I49" s="36"/>
      <c r="J49" s="36"/>
      <c r="K49" s="36"/>
      <c r="L49" s="36"/>
      <c r="M49" s="36"/>
      <c r="N49" s="5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customHeight="1" x14ac:dyDescent="0.25">
      <c r="A50" s="6">
        <v>43507</v>
      </c>
      <c r="B50" s="33">
        <v>2000</v>
      </c>
      <c r="C50" s="11"/>
      <c r="D50" s="11"/>
      <c r="E50" s="11"/>
      <c r="F50" s="11"/>
      <c r="G50" s="11"/>
      <c r="H50" s="33">
        <f>B50+C50+D50+E50+F50+G50</f>
        <v>2000</v>
      </c>
      <c r="I50" s="33"/>
      <c r="J50" s="33">
        <v>180</v>
      </c>
      <c r="K50" s="33">
        <f>120</f>
        <v>120</v>
      </c>
      <c r="L50" s="33">
        <f>I50+J50+K50</f>
        <v>300</v>
      </c>
      <c r="M50" s="33">
        <f>H50-L50</f>
        <v>1700</v>
      </c>
      <c r="N50" s="5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customHeight="1" x14ac:dyDescent="0.25">
      <c r="A51" s="3" t="s">
        <v>37</v>
      </c>
      <c r="B51" s="23"/>
      <c r="C51" s="34"/>
      <c r="D51" s="34"/>
      <c r="E51" s="34"/>
      <c r="F51" s="35"/>
      <c r="G51" s="34"/>
      <c r="H51" s="36"/>
      <c r="I51" s="36"/>
      <c r="J51" s="36"/>
      <c r="K51" s="36"/>
      <c r="L51" s="36"/>
      <c r="M51" s="36"/>
      <c r="N51" s="5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customHeight="1" x14ac:dyDescent="0.25">
      <c r="A52" s="5" t="s">
        <v>38</v>
      </c>
      <c r="B52" s="23"/>
      <c r="C52" s="34"/>
      <c r="D52" s="34"/>
      <c r="E52" s="34"/>
      <c r="F52" s="35"/>
      <c r="G52" s="34"/>
      <c r="H52" s="36"/>
      <c r="I52" s="36"/>
      <c r="J52" s="36"/>
      <c r="K52" s="36"/>
      <c r="L52" s="36"/>
      <c r="M52" s="36"/>
      <c r="N52" s="5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 customHeight="1" x14ac:dyDescent="0.25">
      <c r="A53" s="6">
        <v>43507</v>
      </c>
      <c r="B53" s="33">
        <v>1400</v>
      </c>
      <c r="C53" s="11"/>
      <c r="D53" s="11"/>
      <c r="E53" s="11"/>
      <c r="F53" s="11"/>
      <c r="G53" s="11"/>
      <c r="H53" s="33">
        <f>B53+C53+D53+E53+F53+G53</f>
        <v>1400</v>
      </c>
      <c r="I53" s="33"/>
      <c r="J53" s="33">
        <v>112</v>
      </c>
      <c r="K53" s="33">
        <f>84</f>
        <v>84</v>
      </c>
      <c r="L53" s="33">
        <f>I53+J53+K53</f>
        <v>196</v>
      </c>
      <c r="M53" s="33">
        <f>H53-L53</f>
        <v>1204</v>
      </c>
      <c r="N53" s="5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customHeight="1" x14ac:dyDescent="0.25">
      <c r="A54" s="3" t="s">
        <v>39</v>
      </c>
      <c r="B54" s="23"/>
      <c r="C54" s="34"/>
      <c r="D54" s="34"/>
      <c r="E54" s="34"/>
      <c r="F54" s="35"/>
      <c r="G54" s="34"/>
      <c r="H54" s="36"/>
      <c r="I54" s="36"/>
      <c r="J54" s="36"/>
      <c r="K54" s="36"/>
      <c r="L54" s="36"/>
      <c r="M54" s="36"/>
      <c r="N54" s="5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customHeight="1" x14ac:dyDescent="0.25">
      <c r="A55" s="5" t="s">
        <v>40</v>
      </c>
      <c r="B55" s="23"/>
      <c r="C55" s="34"/>
      <c r="D55" s="34"/>
      <c r="E55" s="34"/>
      <c r="F55" s="35"/>
      <c r="G55" s="34"/>
      <c r="H55" s="36"/>
      <c r="I55" s="36"/>
      <c r="J55" s="36"/>
      <c r="K55" s="36"/>
      <c r="L55" s="36"/>
      <c r="M55" s="36"/>
      <c r="N55" s="5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75" customHeight="1" x14ac:dyDescent="0.25">
      <c r="A56" s="6">
        <v>43507</v>
      </c>
      <c r="B56" s="33">
        <v>3800</v>
      </c>
      <c r="C56" s="11"/>
      <c r="D56" s="11"/>
      <c r="E56" s="11"/>
      <c r="F56" s="11"/>
      <c r="G56" s="11"/>
      <c r="H56" s="33">
        <f>B56+C56+D56+E56+F56+G56</f>
        <v>3800</v>
      </c>
      <c r="I56" s="33">
        <v>95.62</v>
      </c>
      <c r="J56" s="33">
        <v>418</v>
      </c>
      <c r="K56" s="33"/>
      <c r="L56" s="33">
        <f>I56+J56+K56</f>
        <v>513.62</v>
      </c>
      <c r="M56" s="33">
        <f>H56-L56</f>
        <v>3286.38</v>
      </c>
      <c r="N56" s="5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customHeight="1" x14ac:dyDescent="0.25">
      <c r="A57" s="8" t="s">
        <v>41</v>
      </c>
      <c r="B57" s="23"/>
      <c r="C57" s="12"/>
      <c r="D57" s="12"/>
      <c r="E57" s="12"/>
      <c r="F57" s="12"/>
      <c r="G57" s="12"/>
      <c r="H57" s="23"/>
      <c r="I57" s="23"/>
      <c r="J57" s="23"/>
      <c r="K57" s="23"/>
      <c r="L57" s="23"/>
      <c r="M57" s="23"/>
      <c r="N57" s="5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customHeight="1" x14ac:dyDescent="0.25">
      <c r="A58" s="10" t="s">
        <v>38</v>
      </c>
      <c r="B58" s="23"/>
      <c r="C58" s="12"/>
      <c r="D58" s="12"/>
      <c r="E58" s="12"/>
      <c r="F58" s="12"/>
      <c r="G58" s="12"/>
      <c r="H58" s="23"/>
      <c r="I58" s="23"/>
      <c r="J58" s="23"/>
      <c r="K58" s="23"/>
      <c r="L58" s="23"/>
      <c r="M58" s="23"/>
      <c r="N58" s="5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customHeight="1" x14ac:dyDescent="0.25">
      <c r="A59" s="10">
        <v>43557</v>
      </c>
      <c r="B59" s="23">
        <v>1400</v>
      </c>
      <c r="C59" s="12"/>
      <c r="D59" s="12"/>
      <c r="E59" s="12"/>
      <c r="F59" s="12"/>
      <c r="G59" s="12"/>
      <c r="H59" s="23">
        <f>SUM(B59:G59)</f>
        <v>1400</v>
      </c>
      <c r="I59" s="23"/>
      <c r="J59" s="23">
        <v>112</v>
      </c>
      <c r="K59" s="23">
        <v>84</v>
      </c>
      <c r="L59" s="23">
        <f>I59+J59+K59</f>
        <v>196</v>
      </c>
      <c r="M59" s="23">
        <f>H59-L59</f>
        <v>1204</v>
      </c>
      <c r="N59" s="5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customHeight="1" x14ac:dyDescent="0.25">
      <c r="A60" s="25" t="s">
        <v>42</v>
      </c>
      <c r="B60" s="37"/>
      <c r="C60" s="26"/>
      <c r="D60" s="26"/>
      <c r="E60" s="26"/>
      <c r="F60" s="26"/>
      <c r="G60" s="26"/>
      <c r="H60" s="37"/>
      <c r="I60" s="37"/>
      <c r="J60" s="37"/>
      <c r="K60" s="37"/>
      <c r="L60" s="37"/>
      <c r="M60" s="37"/>
      <c r="N60" s="5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customHeight="1" x14ac:dyDescent="0.25">
      <c r="A61" s="3" t="s">
        <v>63</v>
      </c>
      <c r="B61" s="23"/>
      <c r="C61" s="34"/>
      <c r="D61" s="34"/>
      <c r="E61" s="34"/>
      <c r="F61" s="35"/>
      <c r="G61" s="34"/>
      <c r="H61" s="36"/>
      <c r="I61" s="36"/>
      <c r="J61" s="36"/>
      <c r="K61" s="36"/>
      <c r="L61" s="36"/>
      <c r="M61" s="36"/>
      <c r="N61" s="5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customHeight="1" x14ac:dyDescent="0.25">
      <c r="A62" s="5" t="s">
        <v>38</v>
      </c>
      <c r="B62" s="23"/>
      <c r="C62" s="34"/>
      <c r="D62" s="34"/>
      <c r="E62" s="34"/>
      <c r="F62" s="35"/>
      <c r="G62" s="34"/>
      <c r="H62" s="36"/>
      <c r="I62" s="36"/>
      <c r="J62" s="36"/>
      <c r="K62" s="36"/>
      <c r="L62" s="36"/>
      <c r="M62" s="36"/>
      <c r="N62" s="5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customHeight="1" x14ac:dyDescent="0.25">
      <c r="A63" s="6">
        <v>43697</v>
      </c>
      <c r="B63" s="33">
        <v>600</v>
      </c>
      <c r="C63" s="11"/>
      <c r="D63" s="11"/>
      <c r="E63" s="11"/>
      <c r="F63" s="11"/>
      <c r="G63" s="11"/>
      <c r="H63" s="33">
        <f>SUM(B63:G63)</f>
        <v>600</v>
      </c>
      <c r="I63" s="33"/>
      <c r="J63" s="33">
        <v>48</v>
      </c>
      <c r="K63" s="33">
        <v>0</v>
      </c>
      <c r="L63" s="33">
        <f>I63+J63+K63</f>
        <v>48</v>
      </c>
      <c r="M63" s="33">
        <f>H63-L63</f>
        <v>552</v>
      </c>
      <c r="N63" s="5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customHeight="1" x14ac:dyDescent="0.25">
      <c r="A64" s="3" t="s">
        <v>43</v>
      </c>
      <c r="B64" s="23"/>
      <c r="C64" s="34"/>
      <c r="D64" s="34"/>
      <c r="E64" s="34"/>
      <c r="F64" s="35"/>
      <c r="G64" s="34"/>
      <c r="H64" s="36"/>
      <c r="I64" s="36"/>
      <c r="J64" s="36"/>
      <c r="K64" s="36"/>
      <c r="L64" s="36"/>
      <c r="M64" s="36"/>
      <c r="N64" s="5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customHeight="1" x14ac:dyDescent="0.25">
      <c r="A65" s="5" t="s">
        <v>44</v>
      </c>
      <c r="B65" s="23"/>
      <c r="C65" s="34"/>
      <c r="D65" s="34"/>
      <c r="E65" s="34"/>
      <c r="F65" s="35"/>
      <c r="G65" s="34"/>
      <c r="H65" s="36"/>
      <c r="I65" s="36"/>
      <c r="J65" s="36"/>
      <c r="K65" s="36"/>
      <c r="L65" s="36"/>
      <c r="M65" s="36"/>
      <c r="N65" s="5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customHeight="1" x14ac:dyDescent="0.25">
      <c r="A66" s="6">
        <v>43535</v>
      </c>
      <c r="B66" s="33">
        <v>3000</v>
      </c>
      <c r="C66" s="11"/>
      <c r="D66" s="11"/>
      <c r="E66" s="11"/>
      <c r="F66" s="11"/>
      <c r="G66" s="11"/>
      <c r="H66" s="33">
        <f>B66+C66+D66+E66+F66+G66</f>
        <v>3000</v>
      </c>
      <c r="I66" s="33">
        <v>29.01</v>
      </c>
      <c r="J66" s="33">
        <v>330</v>
      </c>
      <c r="K66" s="33"/>
      <c r="L66" s="33">
        <f>I66+J66+K66</f>
        <v>359.01</v>
      </c>
      <c r="M66" s="33">
        <f>H66-L66</f>
        <v>2640.99</v>
      </c>
      <c r="N66" s="5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customHeight="1" x14ac:dyDescent="0.25">
      <c r="A67" s="28" t="s">
        <v>45</v>
      </c>
      <c r="B67" s="37"/>
      <c r="C67" s="38"/>
      <c r="D67" s="38"/>
      <c r="E67" s="38"/>
      <c r="F67" s="39"/>
      <c r="G67" s="38"/>
      <c r="H67" s="40"/>
      <c r="I67" s="40"/>
      <c r="J67" s="40"/>
      <c r="K67" s="40"/>
      <c r="L67" s="40"/>
      <c r="M67" s="40"/>
      <c r="N67" s="5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customHeight="1" x14ac:dyDescent="0.25">
      <c r="A68" s="3" t="s">
        <v>46</v>
      </c>
      <c r="B68" s="23"/>
      <c r="C68" s="34"/>
      <c r="D68" s="34"/>
      <c r="E68" s="34"/>
      <c r="F68" s="35"/>
      <c r="G68" s="34"/>
      <c r="H68" s="36"/>
      <c r="I68" s="36"/>
      <c r="J68" s="36"/>
      <c r="K68" s="36"/>
      <c r="L68" s="36"/>
      <c r="M68" s="36"/>
      <c r="N68" s="5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customHeight="1" x14ac:dyDescent="0.25">
      <c r="A69" s="5" t="s">
        <v>44</v>
      </c>
      <c r="B69" s="23"/>
      <c r="C69" s="34"/>
      <c r="D69" s="34"/>
      <c r="E69" s="34"/>
      <c r="F69" s="35"/>
      <c r="G69" s="34"/>
      <c r="H69" s="36"/>
      <c r="I69" s="36"/>
      <c r="J69" s="36"/>
      <c r="K69" s="36"/>
      <c r="L69" s="36"/>
      <c r="M69" s="36"/>
      <c r="N69" s="5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customHeight="1" x14ac:dyDescent="0.25">
      <c r="A70" s="6">
        <v>43535</v>
      </c>
      <c r="B70" s="33">
        <v>3000</v>
      </c>
      <c r="C70" s="11"/>
      <c r="D70" s="11"/>
      <c r="E70" s="11"/>
      <c r="F70" s="11"/>
      <c r="G70" s="11"/>
      <c r="H70" s="33">
        <f>B70+C70+D70+E70+F70+G70</f>
        <v>3000</v>
      </c>
      <c r="I70" s="33">
        <v>43.23</v>
      </c>
      <c r="J70" s="33">
        <v>330</v>
      </c>
      <c r="K70" s="33"/>
      <c r="L70" s="33">
        <f>I70+J70+K70</f>
        <v>373.23</v>
      </c>
      <c r="M70" s="33">
        <f>H70-L70</f>
        <v>2626.77</v>
      </c>
      <c r="N70" s="5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customHeight="1" x14ac:dyDescent="0.25">
      <c r="A71" s="8" t="s">
        <v>47</v>
      </c>
      <c r="B71" s="23"/>
      <c r="C71" s="12"/>
      <c r="D71" s="12"/>
      <c r="E71" s="12"/>
      <c r="F71" s="12"/>
      <c r="G71" s="12"/>
      <c r="H71" s="23"/>
      <c r="I71" s="23"/>
      <c r="J71" s="23"/>
      <c r="K71" s="23"/>
      <c r="L71" s="23"/>
      <c r="M71" s="23"/>
      <c r="N71" s="52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75" customHeight="1" x14ac:dyDescent="0.25">
      <c r="A72" s="10" t="s">
        <v>23</v>
      </c>
      <c r="B72" s="23"/>
      <c r="C72" s="12"/>
      <c r="D72" s="12"/>
      <c r="E72" s="12"/>
      <c r="F72" s="12"/>
      <c r="G72" s="12"/>
      <c r="H72" s="23"/>
      <c r="I72" s="23"/>
      <c r="J72" s="23"/>
      <c r="K72" s="23"/>
      <c r="L72" s="23"/>
      <c r="M72" s="23"/>
      <c r="N72" s="5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75" customHeight="1" x14ac:dyDescent="0.25">
      <c r="A73" s="10">
        <v>43567</v>
      </c>
      <c r="B73" s="23">
        <v>2000</v>
      </c>
      <c r="C73" s="12"/>
      <c r="D73" s="12"/>
      <c r="E73" s="12"/>
      <c r="F73" s="12"/>
      <c r="G73" s="12"/>
      <c r="H73" s="23">
        <f>SUM(B73:G73)</f>
        <v>2000</v>
      </c>
      <c r="I73" s="23"/>
      <c r="J73" s="23">
        <v>180</v>
      </c>
      <c r="K73" s="23"/>
      <c r="L73" s="23">
        <f>SUM(I73:K73)</f>
        <v>180</v>
      </c>
      <c r="M73" s="23">
        <f>H73-L73</f>
        <v>1820</v>
      </c>
      <c r="N73" s="52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75" customHeight="1" x14ac:dyDescent="0.25">
      <c r="A74" s="28" t="s">
        <v>48</v>
      </c>
      <c r="B74" s="37"/>
      <c r="C74" s="38"/>
      <c r="D74" s="38"/>
      <c r="E74" s="38"/>
      <c r="F74" s="39"/>
      <c r="G74" s="38"/>
      <c r="H74" s="39"/>
      <c r="I74" s="39"/>
      <c r="J74" s="39"/>
      <c r="K74" s="39"/>
      <c r="L74" s="39"/>
      <c r="M74" s="39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75" customHeight="1" x14ac:dyDescent="0.25">
      <c r="A75" s="3" t="s">
        <v>49</v>
      </c>
      <c r="B75" s="23"/>
      <c r="C75" s="34"/>
      <c r="D75" s="34"/>
      <c r="E75" s="34"/>
      <c r="F75" s="35"/>
      <c r="G75" s="34"/>
      <c r="H75" s="35"/>
      <c r="I75" s="35"/>
      <c r="J75" s="35"/>
      <c r="K75" s="35"/>
      <c r="L75" s="35"/>
      <c r="M75" s="35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75" customHeight="1" x14ac:dyDescent="0.25">
      <c r="A76" s="5" t="s">
        <v>23</v>
      </c>
      <c r="B76" s="23"/>
      <c r="C76" s="34"/>
      <c r="D76" s="34"/>
      <c r="E76" s="34"/>
      <c r="F76" s="35"/>
      <c r="G76" s="34"/>
      <c r="H76" s="35"/>
      <c r="I76" s="35"/>
      <c r="J76" s="35"/>
      <c r="K76" s="35"/>
      <c r="L76" s="35"/>
      <c r="M76" s="35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75" customHeight="1" x14ac:dyDescent="0.25">
      <c r="A77" s="6">
        <v>43535</v>
      </c>
      <c r="B77" s="33">
        <v>2000</v>
      </c>
      <c r="C77" s="11"/>
      <c r="D77" s="11"/>
      <c r="E77" s="11"/>
      <c r="F77" s="11"/>
      <c r="G77" s="11"/>
      <c r="H77" s="33">
        <f>B77+C77+D77+E77+F77+G77</f>
        <v>2000</v>
      </c>
      <c r="I77" s="33"/>
      <c r="J77" s="33">
        <v>180</v>
      </c>
      <c r="K77" s="33">
        <v>0</v>
      </c>
      <c r="L77" s="23">
        <f>SUM(I77:K77)</f>
        <v>180</v>
      </c>
      <c r="M77" s="33">
        <f>H77-L77</f>
        <v>1820</v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75" customHeight="1" x14ac:dyDescent="0.25">
      <c r="A78" s="28" t="s">
        <v>50</v>
      </c>
      <c r="B78" s="37"/>
      <c r="C78" s="38"/>
      <c r="D78" s="38"/>
      <c r="E78" s="38"/>
      <c r="F78" s="39"/>
      <c r="G78" s="38"/>
      <c r="H78" s="39"/>
      <c r="I78" s="39"/>
      <c r="J78" s="39"/>
      <c r="K78" s="39"/>
      <c r="L78" s="39"/>
      <c r="M78" s="39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75" customHeight="1" x14ac:dyDescent="0.25">
      <c r="A79" s="3" t="s">
        <v>51</v>
      </c>
      <c r="B79" s="23"/>
      <c r="C79" s="34"/>
      <c r="D79" s="34"/>
      <c r="E79" s="34"/>
      <c r="F79" s="35"/>
      <c r="G79" s="34"/>
      <c r="H79" s="35"/>
      <c r="I79" s="35"/>
      <c r="J79" s="35"/>
      <c r="K79" s="35"/>
      <c r="L79" s="35"/>
      <c r="M79" s="35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75" customHeight="1" x14ac:dyDescent="0.25">
      <c r="A80" s="5" t="s">
        <v>52</v>
      </c>
      <c r="B80" s="23"/>
      <c r="C80" s="34"/>
      <c r="D80" s="34"/>
      <c r="E80" s="34"/>
      <c r="F80" s="35"/>
      <c r="G80" s="34"/>
      <c r="H80" s="35"/>
      <c r="I80" s="35"/>
      <c r="J80" s="35"/>
      <c r="K80" s="35"/>
      <c r="L80" s="35"/>
      <c r="M80" s="35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75" customHeight="1" x14ac:dyDescent="0.25">
      <c r="A81" s="97">
        <v>43556</v>
      </c>
      <c r="B81" s="99">
        <v>4000</v>
      </c>
      <c r="C81" s="98"/>
      <c r="D81" s="98"/>
      <c r="E81" s="98"/>
      <c r="F81" s="98"/>
      <c r="G81" s="98"/>
      <c r="H81" s="99">
        <f>B81+C81+D81+E81+F81+G81</f>
        <v>4000</v>
      </c>
      <c r="I81" s="99">
        <v>122.32</v>
      </c>
      <c r="J81" s="99">
        <v>440</v>
      </c>
      <c r="K81" s="99"/>
      <c r="L81" s="99">
        <f>I81+J81+K81</f>
        <v>562.31999999999994</v>
      </c>
      <c r="M81" s="99">
        <f>H81-L81</f>
        <v>3437.6800000000003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75" customHeight="1" x14ac:dyDescent="0.25">
      <c r="A82" s="91" t="s">
        <v>2</v>
      </c>
      <c r="B82" s="240" t="s">
        <v>3</v>
      </c>
      <c r="C82" s="240" t="s">
        <v>4</v>
      </c>
      <c r="D82" s="239" t="s">
        <v>5</v>
      </c>
      <c r="E82" s="239" t="s">
        <v>6</v>
      </c>
      <c r="F82" s="239" t="s">
        <v>7</v>
      </c>
      <c r="G82" s="240" t="s">
        <v>8</v>
      </c>
      <c r="H82" s="239" t="s">
        <v>9</v>
      </c>
      <c r="I82" s="240" t="s">
        <v>10</v>
      </c>
      <c r="J82" s="240" t="s">
        <v>11</v>
      </c>
      <c r="K82" s="239" t="s">
        <v>12</v>
      </c>
      <c r="L82" s="239" t="s">
        <v>13</v>
      </c>
      <c r="M82" s="239" t="s">
        <v>14</v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75" customHeight="1" x14ac:dyDescent="0.25">
      <c r="A83" s="90" t="s">
        <v>15</v>
      </c>
      <c r="B83" s="229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75" customHeight="1" x14ac:dyDescent="0.25">
      <c r="A84" s="96" t="s">
        <v>16</v>
      </c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75" customHeight="1" x14ac:dyDescent="0.25">
      <c r="A85" s="41" t="s">
        <v>64</v>
      </c>
      <c r="B85" s="42"/>
      <c r="C85" s="43"/>
      <c r="D85" s="43"/>
      <c r="E85" s="43"/>
      <c r="F85" s="44"/>
      <c r="G85" s="43"/>
      <c r="H85" s="44"/>
      <c r="I85" s="44"/>
      <c r="J85" s="44"/>
      <c r="K85" s="44"/>
      <c r="L85" s="44"/>
      <c r="M85" s="4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75" customHeight="1" x14ac:dyDescent="0.25">
      <c r="A86" s="3" t="s">
        <v>65</v>
      </c>
      <c r="B86" s="23"/>
      <c r="C86" s="34"/>
      <c r="D86" s="34"/>
      <c r="E86" s="34"/>
      <c r="F86" s="35"/>
      <c r="G86" s="34"/>
      <c r="H86" s="35"/>
      <c r="I86" s="35"/>
      <c r="J86" s="35"/>
      <c r="K86" s="35"/>
      <c r="L86" s="35"/>
      <c r="M86" s="35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75" customHeight="1" x14ac:dyDescent="0.25">
      <c r="A87" s="10" t="s">
        <v>23</v>
      </c>
      <c r="B87" s="23"/>
      <c r="C87" s="34"/>
      <c r="D87" s="34"/>
      <c r="E87" s="34"/>
      <c r="F87" s="35"/>
      <c r="G87" s="34"/>
      <c r="H87" s="35"/>
      <c r="I87" s="35"/>
      <c r="J87" s="35"/>
      <c r="K87" s="35"/>
      <c r="L87" s="35"/>
      <c r="M87" s="35"/>
      <c r="N87" s="45"/>
      <c r="O87" s="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75" customHeight="1" x14ac:dyDescent="0.25">
      <c r="A88" s="6">
        <v>43697</v>
      </c>
      <c r="B88" s="33">
        <v>800</v>
      </c>
      <c r="C88" s="11"/>
      <c r="D88" s="11"/>
      <c r="E88" s="11"/>
      <c r="F88" s="11"/>
      <c r="G88" s="11"/>
      <c r="H88" s="33">
        <f>B88+C88+D88+E88+F88+G88</f>
        <v>800</v>
      </c>
      <c r="I88" s="33">
        <v>0</v>
      </c>
      <c r="J88" s="33">
        <v>64</v>
      </c>
      <c r="K88" s="33"/>
      <c r="L88" s="33">
        <f>I88+J88+K88</f>
        <v>64</v>
      </c>
      <c r="M88" s="46">
        <f>H88-L88</f>
        <v>736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3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3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8">
    <mergeCell ref="J4:J6"/>
    <mergeCell ref="K4:K6"/>
    <mergeCell ref="L4:L6"/>
    <mergeCell ref="M4:M6"/>
    <mergeCell ref="A1:M1"/>
    <mergeCell ref="B4:B6"/>
    <mergeCell ref="C4:C6"/>
    <mergeCell ref="D4:D6"/>
    <mergeCell ref="E4:E6"/>
    <mergeCell ref="F4:F6"/>
    <mergeCell ref="G4:G6"/>
    <mergeCell ref="H4:H6"/>
    <mergeCell ref="I4:I6"/>
    <mergeCell ref="B7:M7"/>
    <mergeCell ref="G41:G43"/>
    <mergeCell ref="H41:H43"/>
    <mergeCell ref="J41:J43"/>
    <mergeCell ref="K41:K43"/>
    <mergeCell ref="L41:L43"/>
    <mergeCell ref="M41:M43"/>
    <mergeCell ref="C41:C43"/>
    <mergeCell ref="D41:D43"/>
    <mergeCell ref="E41:E43"/>
    <mergeCell ref="F41:F43"/>
    <mergeCell ref="I41:I43"/>
    <mergeCell ref="M82:M84"/>
    <mergeCell ref="B41:B43"/>
    <mergeCell ref="B82:B84"/>
    <mergeCell ref="C82:C84"/>
    <mergeCell ref="D82:D84"/>
    <mergeCell ref="E82:E84"/>
    <mergeCell ref="F82:F84"/>
    <mergeCell ref="G82:G84"/>
    <mergeCell ref="H82:H84"/>
    <mergeCell ref="I82:I84"/>
    <mergeCell ref="J82:J84"/>
    <mergeCell ref="K82:K84"/>
    <mergeCell ref="L82:L84"/>
  </mergeCells>
  <pageMargins left="0.51181102362204722" right="0.51181102362204722" top="0.78740157480314965" bottom="0.78740157480314965" header="0" footer="0"/>
  <pageSetup paperSize="9" orientation="landscape"/>
  <rowBreaks count="2" manualBreakCount="2">
    <brk id="40" man="1"/>
    <brk id="8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1000"/>
  <sheetViews>
    <sheetView showGridLines="0" workbookViewId="0"/>
  </sheetViews>
  <sheetFormatPr defaultColWidth="12.625" defaultRowHeight="15" customHeight="1" x14ac:dyDescent="0.2"/>
  <cols>
    <col min="1" max="1" width="23.5" customWidth="1"/>
    <col min="2" max="2" width="10.875" customWidth="1"/>
    <col min="3" max="3" width="9.25" customWidth="1"/>
    <col min="4" max="5" width="9.125" customWidth="1"/>
    <col min="6" max="6" width="9.625" customWidth="1"/>
    <col min="7" max="7" width="9.25" customWidth="1"/>
    <col min="8" max="8" width="10.375" customWidth="1"/>
    <col min="9" max="11" width="8" customWidth="1"/>
    <col min="12" max="12" width="10.25" customWidth="1"/>
    <col min="13" max="13" width="15.375" customWidth="1"/>
    <col min="14" max="33" width="8" customWidth="1"/>
  </cols>
  <sheetData>
    <row r="1" spans="1:33" x14ac:dyDescent="0.25">
      <c r="A1" s="238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5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25">
      <c r="A2" s="90" t="s">
        <v>66</v>
      </c>
      <c r="B2" s="89">
        <v>2019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5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.75" customHeight="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5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4.25" customHeight="1" x14ac:dyDescent="0.25">
      <c r="A4" s="91" t="s">
        <v>2</v>
      </c>
      <c r="B4" s="231" t="s">
        <v>3</v>
      </c>
      <c r="C4" s="231" t="s">
        <v>4</v>
      </c>
      <c r="D4" s="228" t="s">
        <v>5</v>
      </c>
      <c r="E4" s="228" t="s">
        <v>6</v>
      </c>
      <c r="F4" s="228" t="s">
        <v>7</v>
      </c>
      <c r="G4" s="231" t="s">
        <v>8</v>
      </c>
      <c r="H4" s="228" t="s">
        <v>9</v>
      </c>
      <c r="I4" s="231" t="s">
        <v>10</v>
      </c>
      <c r="J4" s="231" t="s">
        <v>11</v>
      </c>
      <c r="K4" s="228" t="s">
        <v>12</v>
      </c>
      <c r="L4" s="228" t="s">
        <v>13</v>
      </c>
      <c r="M4" s="228" t="s">
        <v>14</v>
      </c>
      <c r="N4" s="5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75" customHeight="1" x14ac:dyDescent="0.25">
      <c r="A5" s="90" t="s">
        <v>15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5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75" customHeight="1" x14ac:dyDescent="0.25">
      <c r="A6" s="92" t="s">
        <v>16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5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20.25" customHeight="1" x14ac:dyDescent="0.25">
      <c r="A7" s="2" t="s">
        <v>17</v>
      </c>
      <c r="B7" s="235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5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8.75" customHeight="1" x14ac:dyDescent="0.25">
      <c r="A8" s="3" t="s">
        <v>18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5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75" customHeight="1" x14ac:dyDescent="0.25">
      <c r="A9" s="5" t="s">
        <v>19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5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8.75" customHeight="1" x14ac:dyDescent="0.25">
      <c r="A10" s="6">
        <v>43544</v>
      </c>
      <c r="B10" s="33">
        <v>6000</v>
      </c>
      <c r="C10" s="33"/>
      <c r="D10" s="33"/>
      <c r="E10" s="33"/>
      <c r="F10" s="33"/>
      <c r="G10" s="33"/>
      <c r="H10" s="33">
        <f>SUM(B10:G10)</f>
        <v>6000</v>
      </c>
      <c r="I10" s="33">
        <v>604</v>
      </c>
      <c r="J10" s="33">
        <v>642.33000000000004</v>
      </c>
      <c r="K10" s="33"/>
      <c r="L10" s="33">
        <f>SUM(I10:K10)</f>
        <v>1246.33</v>
      </c>
      <c r="M10" s="33">
        <f>H10-L10</f>
        <v>4753.67</v>
      </c>
      <c r="N10" s="5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8.75" customHeight="1" x14ac:dyDescent="0.25">
      <c r="A11" s="3" t="s">
        <v>67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5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5.75" customHeight="1" x14ac:dyDescent="0.25">
      <c r="A12" s="5" t="s">
        <v>59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5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8.75" customHeight="1" x14ac:dyDescent="0.25">
      <c r="A13" s="6">
        <v>43710</v>
      </c>
      <c r="B13" s="33">
        <v>1933.33</v>
      </c>
      <c r="C13" s="33"/>
      <c r="D13" s="33"/>
      <c r="E13" s="33"/>
      <c r="F13" s="33"/>
      <c r="G13" s="33">
        <v>483.33</v>
      </c>
      <c r="H13" s="33">
        <f>SUM(B13:G13)</f>
        <v>2416.66</v>
      </c>
      <c r="I13" s="33">
        <v>22.14</v>
      </c>
      <c r="J13" s="33">
        <v>217.49</v>
      </c>
      <c r="K13" s="33">
        <f>120+116</f>
        <v>236</v>
      </c>
      <c r="L13" s="33">
        <f>SUM(I13:K13)</f>
        <v>475.63</v>
      </c>
      <c r="M13" s="33">
        <f>H13-L13</f>
        <v>1941.0299999999997</v>
      </c>
      <c r="N13" s="5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8.75" customHeight="1" x14ac:dyDescent="0.25">
      <c r="A14" s="3" t="s">
        <v>20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5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8.75" customHeight="1" x14ac:dyDescent="0.25">
      <c r="A15" s="5" t="s">
        <v>68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5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8.75" customHeight="1" x14ac:dyDescent="0.25">
      <c r="A16" s="6">
        <v>43606</v>
      </c>
      <c r="B16" s="11">
        <f>2900+46.67</f>
        <v>2946.67</v>
      </c>
      <c r="C16" s="11"/>
      <c r="D16" s="11"/>
      <c r="E16" s="11"/>
      <c r="F16" s="11"/>
      <c r="G16" s="11"/>
      <c r="H16" s="33">
        <f>SUM(B16:G16)</f>
        <v>2946.67</v>
      </c>
      <c r="I16" s="33">
        <v>53.89</v>
      </c>
      <c r="J16" s="33">
        <v>324.13</v>
      </c>
      <c r="K16" s="33">
        <v>180</v>
      </c>
      <c r="L16" s="33">
        <f>SUM(I16:K16)</f>
        <v>558.02</v>
      </c>
      <c r="M16" s="33">
        <f>H16-L16</f>
        <v>2388.65</v>
      </c>
      <c r="N16" s="5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x14ac:dyDescent="0.25">
      <c r="A17" s="3" t="s">
        <v>58</v>
      </c>
      <c r="B17" s="12"/>
      <c r="C17" s="34"/>
      <c r="D17" s="34"/>
      <c r="E17" s="34"/>
      <c r="F17" s="35"/>
      <c r="G17" s="34"/>
      <c r="H17" s="36"/>
      <c r="I17" s="36"/>
      <c r="J17" s="36"/>
      <c r="K17" s="36"/>
      <c r="L17" s="36"/>
      <c r="M17" s="36"/>
      <c r="N17" s="5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25">
      <c r="A18" s="5" t="s">
        <v>59</v>
      </c>
      <c r="B18" s="12"/>
      <c r="C18" s="34"/>
      <c r="D18" s="34"/>
      <c r="E18" s="34"/>
      <c r="F18" s="35"/>
      <c r="G18" s="34"/>
      <c r="H18" s="36"/>
      <c r="I18" s="36"/>
      <c r="J18" s="36"/>
      <c r="K18" s="36"/>
      <c r="L18" s="36"/>
      <c r="M18" s="36"/>
      <c r="N18" s="5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25">
      <c r="A19" s="6">
        <v>43623</v>
      </c>
      <c r="B19" s="11">
        <v>2000</v>
      </c>
      <c r="C19" s="11"/>
      <c r="D19" s="11"/>
      <c r="E19" s="11"/>
      <c r="F19" s="11"/>
      <c r="G19" s="11">
        <v>483.33</v>
      </c>
      <c r="H19" s="33">
        <f>SUM(B19:G19)</f>
        <v>2483.33</v>
      </c>
      <c r="I19" s="33">
        <v>26.69</v>
      </c>
      <c r="J19" s="33">
        <v>223.49</v>
      </c>
      <c r="K19" s="33">
        <v>120</v>
      </c>
      <c r="L19" s="33">
        <f>SUM(I19:K19)</f>
        <v>370.18</v>
      </c>
      <c r="M19" s="33">
        <f>H19-L19</f>
        <v>2113.15</v>
      </c>
      <c r="N19" s="5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x14ac:dyDescent="0.25">
      <c r="A20" s="3" t="s">
        <v>22</v>
      </c>
      <c r="B20" s="12"/>
      <c r="C20" s="34"/>
      <c r="D20" s="34"/>
      <c r="E20" s="34"/>
      <c r="F20" s="35"/>
      <c r="G20" s="34"/>
      <c r="H20" s="36"/>
      <c r="I20" s="36"/>
      <c r="J20" s="36"/>
      <c r="K20" s="36"/>
      <c r="L20" s="36"/>
      <c r="M20" s="36"/>
      <c r="N20" s="5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75" customHeight="1" x14ac:dyDescent="0.25">
      <c r="A21" s="5" t="s">
        <v>69</v>
      </c>
      <c r="B21" s="12"/>
      <c r="C21" s="34"/>
      <c r="D21" s="34"/>
      <c r="E21" s="34"/>
      <c r="F21" s="35"/>
      <c r="G21" s="34"/>
      <c r="H21" s="36"/>
      <c r="I21" s="36"/>
      <c r="J21" s="36"/>
      <c r="K21" s="36"/>
      <c r="L21" s="36"/>
      <c r="M21" s="36"/>
      <c r="N21" s="5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75" customHeight="1" x14ac:dyDescent="0.25">
      <c r="A22" s="6">
        <v>43507</v>
      </c>
      <c r="B22" s="11">
        <v>2000</v>
      </c>
      <c r="C22" s="11"/>
      <c r="D22" s="11"/>
      <c r="E22" s="11"/>
      <c r="F22" s="11"/>
      <c r="G22" s="11">
        <v>483.33</v>
      </c>
      <c r="H22" s="33">
        <f>B22+C22+D22+E22+F22+G22</f>
        <v>2483.33</v>
      </c>
      <c r="I22" s="33"/>
      <c r="J22" s="33">
        <v>223.49</v>
      </c>
      <c r="K22" s="33">
        <f>120</f>
        <v>120</v>
      </c>
      <c r="L22" s="33">
        <f>I22+J22+K22</f>
        <v>343.49</v>
      </c>
      <c r="M22" s="33">
        <f>H22-L22</f>
        <v>2139.84</v>
      </c>
      <c r="N22" s="5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75" customHeight="1" x14ac:dyDescent="0.25">
      <c r="A23" s="8" t="s">
        <v>24</v>
      </c>
      <c r="B23" s="12"/>
      <c r="C23" s="12"/>
      <c r="D23" s="12"/>
      <c r="E23" s="12"/>
      <c r="F23" s="12"/>
      <c r="G23" s="12"/>
      <c r="H23" s="23"/>
      <c r="I23" s="23"/>
      <c r="J23" s="23"/>
      <c r="K23" s="23"/>
      <c r="L23" s="23"/>
      <c r="M23" s="23"/>
      <c r="N23" s="5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75" customHeight="1" x14ac:dyDescent="0.25">
      <c r="A24" s="5" t="s">
        <v>70</v>
      </c>
      <c r="B24" s="12"/>
      <c r="C24" s="12"/>
      <c r="D24" s="12"/>
      <c r="E24" s="12"/>
      <c r="F24" s="12"/>
      <c r="G24" s="12"/>
      <c r="H24" s="23"/>
      <c r="I24" s="23"/>
      <c r="J24" s="23"/>
      <c r="K24" s="23"/>
      <c r="L24" s="23"/>
      <c r="M24" s="23"/>
      <c r="N24" s="5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75" customHeight="1" x14ac:dyDescent="0.25">
      <c r="A25" s="6">
        <v>43606</v>
      </c>
      <c r="B25" s="11">
        <f>2126.67+46.67</f>
        <v>2173.34</v>
      </c>
      <c r="C25" s="11"/>
      <c r="D25" s="11"/>
      <c r="E25" s="11"/>
      <c r="F25" s="11"/>
      <c r="G25" s="11"/>
      <c r="H25" s="33">
        <f>B25+C25+D25+E25+F25+G25</f>
        <v>2173.34</v>
      </c>
      <c r="I25" s="33"/>
      <c r="J25" s="33">
        <v>195.6</v>
      </c>
      <c r="K25" s="33">
        <v>132</v>
      </c>
      <c r="L25" s="33">
        <f>I25+J25+K25</f>
        <v>327.60000000000002</v>
      </c>
      <c r="M25" s="33">
        <f>H25-L25</f>
        <v>1845.7400000000002</v>
      </c>
      <c r="N25" s="5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75" customHeight="1" x14ac:dyDescent="0.25">
      <c r="A26" s="3" t="s">
        <v>25</v>
      </c>
      <c r="B26" s="12"/>
      <c r="C26" s="34"/>
      <c r="D26" s="34"/>
      <c r="E26" s="34"/>
      <c r="F26" s="35"/>
      <c r="G26" s="34"/>
      <c r="H26" s="36"/>
      <c r="I26" s="36"/>
      <c r="J26" s="36"/>
      <c r="K26" s="36"/>
      <c r="L26" s="36"/>
      <c r="M26" s="36"/>
      <c r="N26" s="5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75" customHeight="1" x14ac:dyDescent="0.25">
      <c r="A27" s="5" t="s">
        <v>71</v>
      </c>
      <c r="B27" s="12"/>
      <c r="C27" s="34"/>
      <c r="D27" s="34"/>
      <c r="E27" s="34"/>
      <c r="F27" s="35"/>
      <c r="G27" s="34"/>
      <c r="H27" s="36"/>
      <c r="I27" s="36"/>
      <c r="J27" s="36"/>
      <c r="K27" s="36"/>
      <c r="L27" s="36"/>
      <c r="M27" s="36"/>
      <c r="N27" s="5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75" customHeight="1" x14ac:dyDescent="0.25">
      <c r="A28" s="6">
        <v>43507</v>
      </c>
      <c r="B28" s="11">
        <v>6000</v>
      </c>
      <c r="C28" s="11"/>
      <c r="D28" s="11"/>
      <c r="E28" s="11"/>
      <c r="F28" s="11"/>
      <c r="G28" s="11"/>
      <c r="H28" s="33">
        <f>B28+C28+D28+E28+F28+G28</f>
        <v>6000</v>
      </c>
      <c r="I28" s="33">
        <v>604</v>
      </c>
      <c r="J28" s="33">
        <v>642.33000000000004</v>
      </c>
      <c r="K28" s="33"/>
      <c r="L28" s="33">
        <f>I28+J28+K28</f>
        <v>1246.33</v>
      </c>
      <c r="M28" s="33">
        <f>H28-L28</f>
        <v>4753.67</v>
      </c>
      <c r="N28" s="5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75" customHeight="1" x14ac:dyDescent="0.25">
      <c r="A29" s="3" t="s">
        <v>27</v>
      </c>
      <c r="B29" s="12"/>
      <c r="C29" s="34"/>
      <c r="D29" s="34"/>
      <c r="E29" s="34"/>
      <c r="F29" s="35"/>
      <c r="G29" s="34"/>
      <c r="H29" s="36"/>
      <c r="I29" s="36"/>
      <c r="J29" s="36"/>
      <c r="K29" s="36"/>
      <c r="L29" s="36"/>
      <c r="M29" s="36"/>
      <c r="N29" s="5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75" customHeight="1" x14ac:dyDescent="0.25">
      <c r="A30" s="5" t="s">
        <v>28</v>
      </c>
      <c r="B30" s="12"/>
      <c r="C30" s="34"/>
      <c r="D30" s="34"/>
      <c r="E30" s="34"/>
      <c r="F30" s="35"/>
      <c r="G30" s="34"/>
      <c r="H30" s="36"/>
      <c r="I30" s="36"/>
      <c r="J30" s="36"/>
      <c r="K30" s="36"/>
      <c r="L30" s="36"/>
      <c r="M30" s="36"/>
      <c r="N30" s="5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75" customHeight="1" x14ac:dyDescent="0.25">
      <c r="A31" s="6">
        <v>43507</v>
      </c>
      <c r="B31" s="11">
        <v>6000</v>
      </c>
      <c r="C31" s="11"/>
      <c r="D31" s="11"/>
      <c r="E31" s="11"/>
      <c r="F31" s="11"/>
      <c r="G31" s="11"/>
      <c r="H31" s="33">
        <f>B31+C31+D31+E31+F31+G31</f>
        <v>6000</v>
      </c>
      <c r="I31" s="33">
        <v>499.72</v>
      </c>
      <c r="J31" s="33">
        <v>642.33000000000004</v>
      </c>
      <c r="K31" s="33"/>
      <c r="L31" s="33">
        <f>I31+J31+K31</f>
        <v>1142.0500000000002</v>
      </c>
      <c r="M31" s="33">
        <f>H31-L31</f>
        <v>4857.95</v>
      </c>
      <c r="N31" s="5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75" customHeight="1" x14ac:dyDescent="0.25">
      <c r="A32" s="3" t="s">
        <v>61</v>
      </c>
      <c r="B32" s="12"/>
      <c r="C32" s="34"/>
      <c r="D32" s="34"/>
      <c r="E32" s="34"/>
      <c r="F32" s="35"/>
      <c r="G32" s="34"/>
      <c r="H32" s="36"/>
      <c r="I32" s="36"/>
      <c r="J32" s="36"/>
      <c r="K32" s="36"/>
      <c r="L32" s="36"/>
      <c r="M32" s="36"/>
      <c r="N32" s="5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75" customHeight="1" x14ac:dyDescent="0.25">
      <c r="A33" s="47" t="s">
        <v>26</v>
      </c>
      <c r="B33" s="12"/>
      <c r="C33" s="34"/>
      <c r="D33" s="34"/>
      <c r="E33" s="34"/>
      <c r="F33" s="35"/>
      <c r="G33" s="34"/>
      <c r="H33" s="36"/>
      <c r="I33" s="36"/>
      <c r="J33" s="36"/>
      <c r="K33" s="36"/>
      <c r="L33" s="36"/>
      <c r="M33" s="36"/>
      <c r="N33" s="5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75" customHeight="1" x14ac:dyDescent="0.25">
      <c r="A34" s="6">
        <v>43678</v>
      </c>
      <c r="B34" s="11">
        <f>5400+200</f>
        <v>5600</v>
      </c>
      <c r="C34" s="11"/>
      <c r="D34" s="11"/>
      <c r="E34" s="11"/>
      <c r="F34" s="11"/>
      <c r="G34" s="11"/>
      <c r="H34" s="33">
        <f>B34+C34+D34+E34+F34+G34</f>
        <v>5600</v>
      </c>
      <c r="I34" s="33">
        <v>399.95</v>
      </c>
      <c r="J34" s="33">
        <v>616</v>
      </c>
      <c r="K34" s="33">
        <v>230</v>
      </c>
      <c r="L34" s="33">
        <f>I34+J34+K34</f>
        <v>1245.95</v>
      </c>
      <c r="M34" s="33">
        <f>H34-L34</f>
        <v>4354.05</v>
      </c>
      <c r="N34" s="5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75" customHeight="1" x14ac:dyDescent="0.25">
      <c r="A35" s="3" t="s">
        <v>62</v>
      </c>
      <c r="B35" s="12"/>
      <c r="C35" s="34"/>
      <c r="D35" s="34"/>
      <c r="E35" s="34"/>
      <c r="F35" s="35"/>
      <c r="G35" s="34"/>
      <c r="H35" s="36"/>
      <c r="I35" s="36"/>
      <c r="J35" s="36"/>
      <c r="K35" s="36"/>
      <c r="L35" s="36"/>
      <c r="M35" s="36"/>
      <c r="N35" s="5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75" customHeight="1" x14ac:dyDescent="0.25">
      <c r="A36" s="5" t="s">
        <v>72</v>
      </c>
      <c r="B36" s="12"/>
      <c r="C36" s="34"/>
      <c r="D36" s="34"/>
      <c r="E36" s="34"/>
      <c r="F36" s="35"/>
      <c r="G36" s="34"/>
      <c r="H36" s="36"/>
      <c r="I36" s="36"/>
      <c r="J36" s="36"/>
      <c r="K36" s="36"/>
      <c r="L36" s="36"/>
      <c r="M36" s="36"/>
      <c r="N36" s="5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75" customHeight="1" x14ac:dyDescent="0.25">
      <c r="A37" s="6">
        <v>43703</v>
      </c>
      <c r="B37" s="11">
        <v>1400</v>
      </c>
      <c r="C37" s="11"/>
      <c r="D37" s="11"/>
      <c r="E37" s="11"/>
      <c r="F37" s="11"/>
      <c r="G37" s="11"/>
      <c r="H37" s="33">
        <f>B37+C37+D37+E37+F37+G37</f>
        <v>1400</v>
      </c>
      <c r="I37" s="33"/>
      <c r="J37" s="33">
        <v>112</v>
      </c>
      <c r="K37" s="33">
        <v>84</v>
      </c>
      <c r="L37" s="33">
        <f>I37+J37+K37</f>
        <v>196</v>
      </c>
      <c r="M37" s="33">
        <f>H37-L37</f>
        <v>1204</v>
      </c>
      <c r="N37" s="5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75" customHeight="1" x14ac:dyDescent="0.25">
      <c r="A38" s="3" t="s">
        <v>29</v>
      </c>
      <c r="B38" s="12"/>
      <c r="C38" s="34"/>
      <c r="D38" s="34"/>
      <c r="E38" s="34"/>
      <c r="F38" s="35"/>
      <c r="G38" s="34"/>
      <c r="H38" s="36"/>
      <c r="I38" s="36"/>
      <c r="J38" s="36"/>
      <c r="K38" s="36"/>
      <c r="L38" s="36"/>
      <c r="M38" s="36"/>
      <c r="N38" s="5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 customHeight="1" x14ac:dyDescent="0.25">
      <c r="A39" s="5" t="s">
        <v>30</v>
      </c>
      <c r="B39" s="12"/>
      <c r="C39" s="34"/>
      <c r="D39" s="34"/>
      <c r="E39" s="34"/>
      <c r="F39" s="35"/>
      <c r="G39" s="34"/>
      <c r="H39" s="36"/>
      <c r="I39" s="36"/>
      <c r="J39" s="36"/>
      <c r="K39" s="36"/>
      <c r="L39" s="36"/>
      <c r="M39" s="36"/>
      <c r="N39" s="5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 customHeight="1" x14ac:dyDescent="0.25">
      <c r="A40" s="6">
        <v>43507</v>
      </c>
      <c r="B40" s="11">
        <v>6000</v>
      </c>
      <c r="C40" s="11"/>
      <c r="D40" s="11"/>
      <c r="E40" s="11"/>
      <c r="F40" s="11"/>
      <c r="G40" s="11"/>
      <c r="H40" s="33">
        <f>B40+C40+D40+E40+F40+G40</f>
        <v>6000</v>
      </c>
      <c r="I40" s="33">
        <v>700.79</v>
      </c>
      <c r="J40" s="33">
        <v>290.38</v>
      </c>
      <c r="K40" s="33"/>
      <c r="L40" s="33">
        <f>I40+J40+K40</f>
        <v>991.17</v>
      </c>
      <c r="M40" s="33">
        <f>H40-L40</f>
        <v>5008.83</v>
      </c>
      <c r="N40" s="5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customHeight="1" x14ac:dyDescent="0.25">
      <c r="A41" s="3" t="s">
        <v>31</v>
      </c>
      <c r="B41" s="12"/>
      <c r="C41" s="34"/>
      <c r="D41" s="34"/>
      <c r="E41" s="34"/>
      <c r="F41" s="35"/>
      <c r="G41" s="34"/>
      <c r="H41" s="36"/>
      <c r="I41" s="36"/>
      <c r="J41" s="36"/>
      <c r="K41" s="36"/>
      <c r="L41" s="36"/>
      <c r="M41" s="36"/>
      <c r="N41" s="5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customHeight="1" x14ac:dyDescent="0.25">
      <c r="A42" s="5" t="s">
        <v>32</v>
      </c>
      <c r="B42" s="12"/>
      <c r="C42" s="34"/>
      <c r="D42" s="34"/>
      <c r="E42" s="34"/>
      <c r="F42" s="35"/>
      <c r="G42" s="34"/>
      <c r="H42" s="36"/>
      <c r="I42" s="36"/>
      <c r="J42" s="36"/>
      <c r="K42" s="36"/>
      <c r="L42" s="36"/>
      <c r="M42" s="36"/>
      <c r="N42" s="5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3.5" customHeight="1" x14ac:dyDescent="0.25">
      <c r="A43" s="97">
        <v>43507</v>
      </c>
      <c r="B43" s="98">
        <v>7000</v>
      </c>
      <c r="C43" s="98"/>
      <c r="D43" s="98"/>
      <c r="E43" s="98"/>
      <c r="F43" s="98"/>
      <c r="G43" s="98"/>
      <c r="H43" s="33">
        <f>B43+C43+D43+E43+F43+G43</f>
        <v>7000</v>
      </c>
      <c r="I43" s="33">
        <v>774.72</v>
      </c>
      <c r="J43" s="33">
        <v>642.33000000000004</v>
      </c>
      <c r="K43" s="33"/>
      <c r="L43" s="33">
        <f>I43+J43+K43</f>
        <v>1417.0500000000002</v>
      </c>
      <c r="M43" s="33">
        <f>H43-L43</f>
        <v>5582.95</v>
      </c>
      <c r="N43" s="5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customHeight="1" x14ac:dyDescent="0.25">
      <c r="A44" s="14" t="s">
        <v>2</v>
      </c>
      <c r="B44" s="231" t="s">
        <v>3</v>
      </c>
      <c r="C44" s="231" t="s">
        <v>4</v>
      </c>
      <c r="D44" s="228" t="s">
        <v>5</v>
      </c>
      <c r="E44" s="228" t="s">
        <v>6</v>
      </c>
      <c r="F44" s="228" t="s">
        <v>7</v>
      </c>
      <c r="G44" s="231" t="s">
        <v>8</v>
      </c>
      <c r="H44" s="228" t="s">
        <v>9</v>
      </c>
      <c r="I44" s="231" t="s">
        <v>10</v>
      </c>
      <c r="J44" s="231" t="s">
        <v>11</v>
      </c>
      <c r="K44" s="228" t="s">
        <v>12</v>
      </c>
      <c r="L44" s="228" t="s">
        <v>13</v>
      </c>
      <c r="M44" s="228" t="s">
        <v>14</v>
      </c>
      <c r="N44" s="5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customHeight="1" x14ac:dyDescent="0.25">
      <c r="A45" s="90" t="s">
        <v>15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5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 customHeight="1" x14ac:dyDescent="0.25">
      <c r="A46" s="96" t="s">
        <v>16</v>
      </c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5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customHeight="1" x14ac:dyDescent="0.25">
      <c r="A47" s="15" t="s">
        <v>33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5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customHeight="1" x14ac:dyDescent="0.25">
      <c r="A48" s="47" t="s">
        <v>73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5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customHeight="1" x14ac:dyDescent="0.25">
      <c r="A49" s="5" t="s">
        <v>69</v>
      </c>
      <c r="B49" s="12"/>
      <c r="C49" s="12"/>
      <c r="D49" s="12"/>
      <c r="E49" s="12"/>
      <c r="F49" s="12"/>
      <c r="G49" s="12"/>
      <c r="H49" s="23"/>
      <c r="I49" s="23"/>
      <c r="J49" s="23"/>
      <c r="K49" s="23"/>
      <c r="L49" s="23"/>
      <c r="M49" s="23"/>
      <c r="N49" s="5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customHeight="1" x14ac:dyDescent="0.25">
      <c r="A50" s="6">
        <v>43712</v>
      </c>
      <c r="B50" s="11">
        <v>1800</v>
      </c>
      <c r="C50" s="11"/>
      <c r="D50" s="11"/>
      <c r="E50" s="11"/>
      <c r="F50" s="11"/>
      <c r="G50" s="11"/>
      <c r="H50" s="33">
        <f>SUM(B50:G50)</f>
        <v>1800</v>
      </c>
      <c r="I50" s="33"/>
      <c r="J50" s="33">
        <v>162</v>
      </c>
      <c r="K50" s="33">
        <f>120+108</f>
        <v>228</v>
      </c>
      <c r="L50" s="33">
        <f>SUM(I50:K50)</f>
        <v>390</v>
      </c>
      <c r="M50" s="33">
        <f>H50-L50</f>
        <v>1410</v>
      </c>
      <c r="N50" s="5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customHeight="1" x14ac:dyDescent="0.25">
      <c r="A51" s="17" t="s">
        <v>34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5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customHeight="1" x14ac:dyDescent="0.25">
      <c r="A52" s="5" t="s">
        <v>35</v>
      </c>
      <c r="B52" s="12"/>
      <c r="C52" s="12"/>
      <c r="D52" s="12"/>
      <c r="E52" s="12"/>
      <c r="F52" s="12"/>
      <c r="G52" s="12"/>
      <c r="H52" s="23"/>
      <c r="I52" s="23"/>
      <c r="J52" s="23"/>
      <c r="K52" s="23"/>
      <c r="L52" s="23"/>
      <c r="M52" s="23"/>
      <c r="N52" s="5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 customHeight="1" x14ac:dyDescent="0.25">
      <c r="A53" s="6">
        <v>43525</v>
      </c>
      <c r="B53" s="11">
        <v>6000</v>
      </c>
      <c r="C53" s="11"/>
      <c r="D53" s="11"/>
      <c r="E53" s="11"/>
      <c r="F53" s="11"/>
      <c r="G53" s="11"/>
      <c r="H53" s="33">
        <f>SUM(B53:G53)</f>
        <v>6000</v>
      </c>
      <c r="I53" s="33">
        <v>551.86</v>
      </c>
      <c r="J53" s="33">
        <v>642.33000000000004</v>
      </c>
      <c r="K53" s="33"/>
      <c r="L53" s="33">
        <f>SUM(I53:K53)</f>
        <v>1194.19</v>
      </c>
      <c r="M53" s="33">
        <f>H53-L53</f>
        <v>4805.8099999999995</v>
      </c>
      <c r="N53" s="5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customHeight="1" x14ac:dyDescent="0.25">
      <c r="A54" s="3" t="s">
        <v>36</v>
      </c>
      <c r="B54" s="12"/>
      <c r="C54" s="34"/>
      <c r="D54" s="34"/>
      <c r="E54" s="34"/>
      <c r="F54" s="35"/>
      <c r="G54" s="34"/>
      <c r="H54" s="36"/>
      <c r="I54" s="36"/>
      <c r="J54" s="36"/>
      <c r="K54" s="36"/>
      <c r="L54" s="36"/>
      <c r="M54" s="36"/>
      <c r="N54" s="5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customHeight="1" x14ac:dyDescent="0.25">
      <c r="A55" s="5" t="s">
        <v>69</v>
      </c>
      <c r="B55" s="12"/>
      <c r="C55" s="34"/>
      <c r="D55" s="34"/>
      <c r="E55" s="34"/>
      <c r="F55" s="35"/>
      <c r="G55" s="34"/>
      <c r="H55" s="36"/>
      <c r="I55" s="36"/>
      <c r="J55" s="36"/>
      <c r="K55" s="36"/>
      <c r="L55" s="36"/>
      <c r="M55" s="36"/>
      <c r="N55" s="5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75" customHeight="1" x14ac:dyDescent="0.25">
      <c r="A56" s="6">
        <v>43507</v>
      </c>
      <c r="B56" s="33">
        <v>2000</v>
      </c>
      <c r="C56" s="11"/>
      <c r="D56" s="11"/>
      <c r="E56" s="11"/>
      <c r="F56" s="11"/>
      <c r="G56" s="11">
        <v>483.33</v>
      </c>
      <c r="H56" s="33">
        <f>B56+C56+D56+E56+F56+G56</f>
        <v>2483.33</v>
      </c>
      <c r="I56" s="33">
        <v>26.69</v>
      </c>
      <c r="J56" s="33">
        <v>223.49</v>
      </c>
      <c r="K56" s="33">
        <f>120</f>
        <v>120</v>
      </c>
      <c r="L56" s="33">
        <f>I56+J56+K56</f>
        <v>370.18</v>
      </c>
      <c r="M56" s="33">
        <f>H56-L56</f>
        <v>2113.15</v>
      </c>
      <c r="N56" s="5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customHeight="1" x14ac:dyDescent="0.25">
      <c r="A57" s="3" t="s">
        <v>37</v>
      </c>
      <c r="B57" s="23"/>
      <c r="C57" s="34"/>
      <c r="D57" s="34"/>
      <c r="E57" s="34"/>
      <c r="F57" s="35"/>
      <c r="G57" s="34"/>
      <c r="H57" s="36"/>
      <c r="I57" s="36"/>
      <c r="J57" s="36"/>
      <c r="K57" s="36"/>
      <c r="L57" s="36"/>
      <c r="M57" s="36"/>
      <c r="N57" s="5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customHeight="1" x14ac:dyDescent="0.25">
      <c r="A58" s="5" t="s">
        <v>38</v>
      </c>
      <c r="B58" s="23"/>
      <c r="C58" s="34"/>
      <c r="D58" s="34"/>
      <c r="E58" s="34"/>
      <c r="F58" s="35"/>
      <c r="G58" s="34"/>
      <c r="H58" s="36"/>
      <c r="I58" s="36"/>
      <c r="J58" s="36"/>
      <c r="K58" s="36"/>
      <c r="L58" s="36"/>
      <c r="M58" s="36"/>
      <c r="N58" s="5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customHeight="1" x14ac:dyDescent="0.25">
      <c r="A59" s="6">
        <v>43507</v>
      </c>
      <c r="B59" s="33">
        <v>1400</v>
      </c>
      <c r="C59" s="11"/>
      <c r="D59" s="11"/>
      <c r="E59" s="11"/>
      <c r="F59" s="11"/>
      <c r="G59" s="11"/>
      <c r="H59" s="33">
        <f>B59+C59+D59+E59+F59+G59</f>
        <v>1400</v>
      </c>
      <c r="I59" s="33"/>
      <c r="J59" s="33">
        <v>112</v>
      </c>
      <c r="K59" s="33">
        <f>84</f>
        <v>84</v>
      </c>
      <c r="L59" s="33">
        <f>I59+J59+K59</f>
        <v>196</v>
      </c>
      <c r="M59" s="33">
        <f>H59-L59</f>
        <v>1204</v>
      </c>
      <c r="N59" s="5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customHeight="1" x14ac:dyDescent="0.25">
      <c r="A60" s="3" t="s">
        <v>39</v>
      </c>
      <c r="B60" s="23"/>
      <c r="C60" s="34"/>
      <c r="D60" s="34"/>
      <c r="E60" s="34"/>
      <c r="F60" s="35"/>
      <c r="G60" s="34"/>
      <c r="H60" s="36"/>
      <c r="I60" s="36"/>
      <c r="J60" s="36"/>
      <c r="K60" s="36"/>
      <c r="L60" s="36"/>
      <c r="M60" s="36"/>
      <c r="N60" s="5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customHeight="1" x14ac:dyDescent="0.25">
      <c r="A61" s="47" t="s">
        <v>74</v>
      </c>
      <c r="B61" s="23"/>
      <c r="C61" s="34"/>
      <c r="D61" s="34"/>
      <c r="E61" s="34"/>
      <c r="F61" s="35"/>
      <c r="G61" s="34"/>
      <c r="H61" s="36"/>
      <c r="I61" s="36"/>
      <c r="J61" s="36"/>
      <c r="K61" s="36"/>
      <c r="L61" s="36"/>
      <c r="M61" s="36"/>
      <c r="N61" s="5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customHeight="1" x14ac:dyDescent="0.25">
      <c r="A62" s="6">
        <v>43507</v>
      </c>
      <c r="B62" s="33">
        <f>4060+126.67</f>
        <v>4186.67</v>
      </c>
      <c r="C62" s="11"/>
      <c r="D62" s="11"/>
      <c r="E62" s="11"/>
      <c r="F62" s="11"/>
      <c r="G62" s="11"/>
      <c r="H62" s="33">
        <f>B62+C62+D62+E62+F62+G62</f>
        <v>4186.67</v>
      </c>
      <c r="I62" s="33">
        <v>147.24</v>
      </c>
      <c r="J62" s="33">
        <v>460.53</v>
      </c>
      <c r="K62" s="33"/>
      <c r="L62" s="33">
        <f>I62+J62+K62</f>
        <v>607.77</v>
      </c>
      <c r="M62" s="33">
        <f>H62-L62</f>
        <v>3578.9</v>
      </c>
      <c r="N62" s="5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customHeight="1" x14ac:dyDescent="0.25">
      <c r="A63" s="8" t="s">
        <v>41</v>
      </c>
      <c r="B63" s="23"/>
      <c r="C63" s="12"/>
      <c r="D63" s="12"/>
      <c r="E63" s="12"/>
      <c r="F63" s="12"/>
      <c r="G63" s="12"/>
      <c r="H63" s="23"/>
      <c r="I63" s="23"/>
      <c r="J63" s="23"/>
      <c r="K63" s="23"/>
      <c r="L63" s="23"/>
      <c r="M63" s="23"/>
      <c r="N63" s="5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customHeight="1" x14ac:dyDescent="0.25">
      <c r="A64" s="10" t="s">
        <v>38</v>
      </c>
      <c r="B64" s="23"/>
      <c r="C64" s="12"/>
      <c r="D64" s="12"/>
      <c r="E64" s="12"/>
      <c r="F64" s="12"/>
      <c r="G64" s="12"/>
      <c r="H64" s="23"/>
      <c r="I64" s="23"/>
      <c r="J64" s="23"/>
      <c r="K64" s="23"/>
      <c r="L64" s="23"/>
      <c r="M64" s="23"/>
      <c r="N64" s="5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customHeight="1" x14ac:dyDescent="0.25">
      <c r="A65" s="10">
        <v>43557</v>
      </c>
      <c r="B65" s="23">
        <v>1400</v>
      </c>
      <c r="C65" s="12"/>
      <c r="D65" s="12"/>
      <c r="E65" s="12"/>
      <c r="F65" s="12"/>
      <c r="G65" s="12"/>
      <c r="H65" s="23">
        <f>SUM(B65:G65)</f>
        <v>1400</v>
      </c>
      <c r="I65" s="23"/>
      <c r="J65" s="23">
        <v>112</v>
      </c>
      <c r="K65" s="23">
        <v>84</v>
      </c>
      <c r="L65" s="23">
        <f>I65+J65+K65</f>
        <v>196</v>
      </c>
      <c r="M65" s="23">
        <f>H65-L65</f>
        <v>1204</v>
      </c>
      <c r="N65" s="5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customHeight="1" x14ac:dyDescent="0.25">
      <c r="A66" s="25" t="s">
        <v>42</v>
      </c>
      <c r="B66" s="37"/>
      <c r="C66" s="26"/>
      <c r="D66" s="26"/>
      <c r="E66" s="26"/>
      <c r="F66" s="26"/>
      <c r="G66" s="26"/>
      <c r="H66" s="37"/>
      <c r="I66" s="37"/>
      <c r="J66" s="37"/>
      <c r="K66" s="37"/>
      <c r="L66" s="37"/>
      <c r="M66" s="37"/>
      <c r="N66" s="5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customHeight="1" x14ac:dyDescent="0.25">
      <c r="A67" s="3" t="s">
        <v>63</v>
      </c>
      <c r="B67" s="23"/>
      <c r="C67" s="34"/>
      <c r="D67" s="34"/>
      <c r="E67" s="34"/>
      <c r="F67" s="35"/>
      <c r="G67" s="34"/>
      <c r="H67" s="36"/>
      <c r="I67" s="36"/>
      <c r="J67" s="36"/>
      <c r="K67" s="36"/>
      <c r="L67" s="36"/>
      <c r="M67" s="36"/>
      <c r="N67" s="5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customHeight="1" x14ac:dyDescent="0.25">
      <c r="A68" s="5" t="s">
        <v>38</v>
      </c>
      <c r="B68" s="23"/>
      <c r="C68" s="34"/>
      <c r="D68" s="34"/>
      <c r="E68" s="34"/>
      <c r="F68" s="35"/>
      <c r="G68" s="34"/>
      <c r="H68" s="36"/>
      <c r="I68" s="36"/>
      <c r="J68" s="36"/>
      <c r="K68" s="36"/>
      <c r="L68" s="36"/>
      <c r="M68" s="36"/>
      <c r="N68" s="5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customHeight="1" x14ac:dyDescent="0.25">
      <c r="A69" s="6">
        <v>43697</v>
      </c>
      <c r="B69" s="33">
        <v>1400</v>
      </c>
      <c r="C69" s="11"/>
      <c r="D69" s="11"/>
      <c r="E69" s="11"/>
      <c r="F69" s="11"/>
      <c r="G69" s="11"/>
      <c r="H69" s="33">
        <f>SUM(B69:G69)</f>
        <v>1400</v>
      </c>
      <c r="I69" s="33"/>
      <c r="J69" s="33">
        <v>112</v>
      </c>
      <c r="K69" s="33">
        <v>0</v>
      </c>
      <c r="L69" s="33">
        <f>I69+J69+K69</f>
        <v>112</v>
      </c>
      <c r="M69" s="33">
        <f>H69-L69</f>
        <v>1288</v>
      </c>
      <c r="N69" s="5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customHeight="1" x14ac:dyDescent="0.25">
      <c r="A70" s="3" t="s">
        <v>43</v>
      </c>
      <c r="B70" s="23"/>
      <c r="C70" s="34"/>
      <c r="D70" s="34"/>
      <c r="E70" s="34"/>
      <c r="F70" s="35"/>
      <c r="G70" s="34"/>
      <c r="H70" s="36"/>
      <c r="I70" s="36"/>
      <c r="J70" s="36"/>
      <c r="K70" s="36"/>
      <c r="L70" s="36"/>
      <c r="M70" s="36"/>
      <c r="N70" s="5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customHeight="1" x14ac:dyDescent="0.25">
      <c r="A71" s="5" t="s">
        <v>44</v>
      </c>
      <c r="B71" s="23"/>
      <c r="C71" s="34"/>
      <c r="D71" s="34"/>
      <c r="E71" s="34"/>
      <c r="F71" s="35"/>
      <c r="G71" s="34"/>
      <c r="H71" s="36"/>
      <c r="I71" s="36"/>
      <c r="J71" s="36"/>
      <c r="K71" s="36"/>
      <c r="L71" s="36"/>
      <c r="M71" s="36"/>
      <c r="N71" s="52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75" customHeight="1" x14ac:dyDescent="0.25">
      <c r="A72" s="6">
        <v>43535</v>
      </c>
      <c r="B72" s="33">
        <v>3000</v>
      </c>
      <c r="C72" s="11"/>
      <c r="D72" s="11"/>
      <c r="E72" s="11"/>
      <c r="F72" s="11"/>
      <c r="G72" s="11"/>
      <c r="H72" s="33">
        <f>B72+C72+D72+E72+F72+G72</f>
        <v>3000</v>
      </c>
      <c r="I72" s="33">
        <v>29.01</v>
      </c>
      <c r="J72" s="33">
        <v>330</v>
      </c>
      <c r="K72" s="33"/>
      <c r="L72" s="33">
        <f>I72+J72+K72</f>
        <v>359.01</v>
      </c>
      <c r="M72" s="33">
        <f>H72-L72</f>
        <v>2640.99</v>
      </c>
      <c r="N72" s="5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75" customHeight="1" x14ac:dyDescent="0.25">
      <c r="A73" s="28" t="s">
        <v>45</v>
      </c>
      <c r="B73" s="37"/>
      <c r="C73" s="38"/>
      <c r="D73" s="38"/>
      <c r="E73" s="38"/>
      <c r="F73" s="39"/>
      <c r="G73" s="38"/>
      <c r="H73" s="40"/>
      <c r="I73" s="40"/>
      <c r="J73" s="40"/>
      <c r="K73" s="40"/>
      <c r="L73" s="40"/>
      <c r="M73" s="40"/>
      <c r="N73" s="52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75" customHeight="1" x14ac:dyDescent="0.25">
      <c r="A74" s="3" t="s">
        <v>46</v>
      </c>
      <c r="B74" s="23"/>
      <c r="C74" s="34"/>
      <c r="D74" s="34"/>
      <c r="E74" s="34"/>
      <c r="F74" s="35"/>
      <c r="G74" s="34"/>
      <c r="H74" s="36"/>
      <c r="I74" s="36"/>
      <c r="J74" s="36"/>
      <c r="K74" s="36"/>
      <c r="L74" s="36"/>
      <c r="M74" s="36"/>
      <c r="N74" s="52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75" customHeight="1" x14ac:dyDescent="0.25">
      <c r="A75" s="5" t="s">
        <v>44</v>
      </c>
      <c r="B75" s="23"/>
      <c r="C75" s="34"/>
      <c r="D75" s="34"/>
      <c r="E75" s="34"/>
      <c r="F75" s="35"/>
      <c r="G75" s="34"/>
      <c r="H75" s="36"/>
      <c r="I75" s="36"/>
      <c r="J75" s="36"/>
      <c r="K75" s="36"/>
      <c r="L75" s="36"/>
      <c r="M75" s="36"/>
      <c r="N75" s="52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75" customHeight="1" x14ac:dyDescent="0.25">
      <c r="A76" s="6">
        <v>43535</v>
      </c>
      <c r="B76" s="33">
        <v>3000</v>
      </c>
      <c r="C76" s="11"/>
      <c r="D76" s="11"/>
      <c r="E76" s="11"/>
      <c r="F76" s="11"/>
      <c r="G76" s="11"/>
      <c r="H76" s="33">
        <f>B76+C76+D76+E76+F76+G76</f>
        <v>3000</v>
      </c>
      <c r="I76" s="33">
        <v>43.23</v>
      </c>
      <c r="J76" s="33">
        <v>330</v>
      </c>
      <c r="K76" s="33"/>
      <c r="L76" s="33">
        <f>I76+J76+K76</f>
        <v>373.23</v>
      </c>
      <c r="M76" s="33">
        <f>H76-L76</f>
        <v>2626.77</v>
      </c>
      <c r="N76" s="52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75" customHeight="1" x14ac:dyDescent="0.25">
      <c r="A77" s="8" t="s">
        <v>47</v>
      </c>
      <c r="B77" s="23"/>
      <c r="C77" s="12"/>
      <c r="D77" s="12"/>
      <c r="E77" s="12"/>
      <c r="F77" s="12"/>
      <c r="G77" s="12"/>
      <c r="H77" s="23"/>
      <c r="I77" s="23"/>
      <c r="J77" s="23"/>
      <c r="K77" s="23"/>
      <c r="L77" s="23"/>
      <c r="M77" s="23"/>
      <c r="N77" s="52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75" customHeight="1" x14ac:dyDescent="0.25">
      <c r="A78" s="10" t="s">
        <v>69</v>
      </c>
      <c r="B78" s="23"/>
      <c r="C78" s="12"/>
      <c r="D78" s="12"/>
      <c r="E78" s="12"/>
      <c r="F78" s="12"/>
      <c r="G78" s="12"/>
      <c r="H78" s="23"/>
      <c r="I78" s="23"/>
      <c r="J78" s="23"/>
      <c r="K78" s="23"/>
      <c r="L78" s="23"/>
      <c r="M78" s="23"/>
      <c r="N78" s="52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75" customHeight="1" x14ac:dyDescent="0.25">
      <c r="A79" s="10">
        <v>43567</v>
      </c>
      <c r="B79" s="23">
        <v>2000</v>
      </c>
      <c r="C79" s="12"/>
      <c r="D79" s="12"/>
      <c r="E79" s="12"/>
      <c r="F79" s="12"/>
      <c r="G79" s="12"/>
      <c r="H79" s="23">
        <f>SUM(B79:G79)</f>
        <v>2000</v>
      </c>
      <c r="I79" s="23"/>
      <c r="J79" s="23">
        <v>180</v>
      </c>
      <c r="K79" s="23"/>
      <c r="L79" s="23">
        <f>SUM(I79:K79)</f>
        <v>180</v>
      </c>
      <c r="M79" s="23">
        <f>H79-L79</f>
        <v>1820</v>
      </c>
      <c r="N79" s="52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75" customHeight="1" x14ac:dyDescent="0.25">
      <c r="A80" s="28" t="s">
        <v>48</v>
      </c>
      <c r="B80" s="37"/>
      <c r="C80" s="38"/>
      <c r="D80" s="38"/>
      <c r="E80" s="38"/>
      <c r="F80" s="39"/>
      <c r="G80" s="38"/>
      <c r="H80" s="39"/>
      <c r="I80" s="39"/>
      <c r="J80" s="39"/>
      <c r="K80" s="39"/>
      <c r="L80" s="39"/>
      <c r="M80" s="39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75" customHeight="1" x14ac:dyDescent="0.25">
      <c r="A81" s="8" t="s">
        <v>49</v>
      </c>
      <c r="B81" s="23"/>
      <c r="C81" s="34"/>
      <c r="D81" s="34"/>
      <c r="E81" s="34"/>
      <c r="F81" s="35"/>
      <c r="G81" s="34"/>
      <c r="H81" s="35"/>
      <c r="I81" s="35"/>
      <c r="J81" s="35"/>
      <c r="K81" s="35"/>
      <c r="L81" s="35"/>
      <c r="M81" s="35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75" customHeight="1" x14ac:dyDescent="0.25">
      <c r="A82" s="5" t="s">
        <v>69</v>
      </c>
      <c r="B82" s="23"/>
      <c r="C82" s="34"/>
      <c r="D82" s="34"/>
      <c r="E82" s="34"/>
      <c r="F82" s="35"/>
      <c r="G82" s="34"/>
      <c r="H82" s="35"/>
      <c r="I82" s="35"/>
      <c r="J82" s="35"/>
      <c r="K82" s="35"/>
      <c r="L82" s="35"/>
      <c r="M82" s="35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75" customHeight="1" x14ac:dyDescent="0.25">
      <c r="A83" s="6">
        <v>43535</v>
      </c>
      <c r="B83" s="33">
        <v>2000</v>
      </c>
      <c r="C83" s="11"/>
      <c r="D83" s="11"/>
      <c r="E83" s="11"/>
      <c r="F83" s="11"/>
      <c r="G83" s="11"/>
      <c r="H83" s="33">
        <f>B83+C83+D83+E83+F83+G83</f>
        <v>2000</v>
      </c>
      <c r="I83" s="33"/>
      <c r="J83" s="33">
        <v>180</v>
      </c>
      <c r="K83" s="33">
        <v>0</v>
      </c>
      <c r="L83" s="33">
        <f>SUM(I83:K83)</f>
        <v>180</v>
      </c>
      <c r="M83" s="33">
        <f>H83-L83</f>
        <v>1820</v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75" customHeight="1" x14ac:dyDescent="0.25">
      <c r="A84" s="8" t="s">
        <v>75</v>
      </c>
      <c r="B84" s="23"/>
      <c r="C84" s="34"/>
      <c r="D84" s="34"/>
      <c r="E84" s="34"/>
      <c r="F84" s="35"/>
      <c r="G84" s="34"/>
      <c r="H84" s="35"/>
      <c r="I84" s="35"/>
      <c r="J84" s="35"/>
      <c r="K84" s="35"/>
      <c r="L84" s="35"/>
      <c r="M84" s="35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75" customHeight="1" x14ac:dyDescent="0.25">
      <c r="A85" s="5" t="s">
        <v>38</v>
      </c>
      <c r="B85" s="23"/>
      <c r="C85" s="34"/>
      <c r="D85" s="34"/>
      <c r="E85" s="34"/>
      <c r="F85" s="35"/>
      <c r="G85" s="34"/>
      <c r="H85" s="35"/>
      <c r="I85" s="35"/>
      <c r="J85" s="35"/>
      <c r="K85" s="35"/>
      <c r="L85" s="35"/>
      <c r="M85" s="35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75" customHeight="1" x14ac:dyDescent="0.25">
      <c r="A86" s="6">
        <v>43718</v>
      </c>
      <c r="B86" s="33">
        <v>980</v>
      </c>
      <c r="C86" s="11"/>
      <c r="D86" s="11"/>
      <c r="E86" s="11"/>
      <c r="F86" s="11"/>
      <c r="G86" s="11"/>
      <c r="H86" s="33">
        <f>B86+C86+D86+E86+F86+G86</f>
        <v>980</v>
      </c>
      <c r="I86" s="33"/>
      <c r="J86" s="33">
        <v>78.400000000000006</v>
      </c>
      <c r="K86" s="33">
        <v>0</v>
      </c>
      <c r="L86" s="33">
        <f>SUM(I86:K86)</f>
        <v>78.400000000000006</v>
      </c>
      <c r="M86" s="33">
        <f>H86-L86</f>
        <v>901.6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75" customHeight="1" x14ac:dyDescent="0.25">
      <c r="A87" s="28" t="s">
        <v>50</v>
      </c>
      <c r="B87" s="37"/>
      <c r="C87" s="38"/>
      <c r="D87" s="38"/>
      <c r="E87" s="38"/>
      <c r="F87" s="39"/>
      <c r="G87" s="38"/>
      <c r="H87" s="39"/>
      <c r="I87" s="39"/>
      <c r="J87" s="39"/>
      <c r="K87" s="39"/>
      <c r="L87" s="39"/>
      <c r="M87" s="39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75" customHeight="1" x14ac:dyDescent="0.25">
      <c r="A88" s="8" t="s">
        <v>51</v>
      </c>
      <c r="B88" s="23"/>
      <c r="C88" s="34"/>
      <c r="D88" s="34"/>
      <c r="E88" s="34"/>
      <c r="F88" s="35"/>
      <c r="G88" s="34"/>
      <c r="H88" s="35"/>
      <c r="I88" s="35"/>
      <c r="J88" s="35"/>
      <c r="K88" s="35"/>
      <c r="L88" s="35"/>
      <c r="M88" s="35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75" customHeight="1" x14ac:dyDescent="0.25">
      <c r="A89" s="5" t="s">
        <v>52</v>
      </c>
      <c r="B89" s="23"/>
      <c r="C89" s="34"/>
      <c r="D89" s="34"/>
      <c r="E89" s="34"/>
      <c r="F89" s="35"/>
      <c r="G89" s="34"/>
      <c r="H89" s="35"/>
      <c r="I89" s="35"/>
      <c r="J89" s="35"/>
      <c r="K89" s="35"/>
      <c r="L89" s="35"/>
      <c r="M89" s="35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75" customHeight="1" x14ac:dyDescent="0.25">
      <c r="A90" s="97">
        <v>43556</v>
      </c>
      <c r="B90" s="99">
        <v>4000</v>
      </c>
      <c r="C90" s="98"/>
      <c r="D90" s="98"/>
      <c r="E90" s="98"/>
      <c r="F90" s="98"/>
      <c r="G90" s="98"/>
      <c r="H90" s="99">
        <f>B90+C90+D90+E90+F90+G90</f>
        <v>4000</v>
      </c>
      <c r="I90" s="99">
        <v>122.32</v>
      </c>
      <c r="J90" s="99">
        <v>440</v>
      </c>
      <c r="K90" s="99"/>
      <c r="L90" s="99">
        <f>I90+J90+K90</f>
        <v>562.31999999999994</v>
      </c>
      <c r="M90" s="99">
        <f>H90-L90</f>
        <v>3437.6800000000003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75" customHeight="1" x14ac:dyDescent="0.25">
      <c r="A91" s="91" t="s">
        <v>2</v>
      </c>
      <c r="B91" s="240" t="s">
        <v>3</v>
      </c>
      <c r="C91" s="240" t="s">
        <v>4</v>
      </c>
      <c r="D91" s="239" t="s">
        <v>5</v>
      </c>
      <c r="E91" s="239" t="s">
        <v>6</v>
      </c>
      <c r="F91" s="239" t="s">
        <v>7</v>
      </c>
      <c r="G91" s="240" t="s">
        <v>8</v>
      </c>
      <c r="H91" s="239" t="s">
        <v>9</v>
      </c>
      <c r="I91" s="240" t="s">
        <v>10</v>
      </c>
      <c r="J91" s="240" t="s">
        <v>11</v>
      </c>
      <c r="K91" s="239" t="s">
        <v>12</v>
      </c>
      <c r="L91" s="239" t="s">
        <v>13</v>
      </c>
      <c r="M91" s="239" t="s">
        <v>14</v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75" customHeight="1" x14ac:dyDescent="0.25">
      <c r="A92" s="90" t="s">
        <v>15</v>
      </c>
      <c r="B92" s="229"/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75" customHeight="1" x14ac:dyDescent="0.25">
      <c r="A93" s="96" t="s">
        <v>16</v>
      </c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75" customHeight="1" x14ac:dyDescent="0.25">
      <c r="A94" s="41" t="s">
        <v>64</v>
      </c>
      <c r="B94" s="42"/>
      <c r="C94" s="43"/>
      <c r="D94" s="43"/>
      <c r="E94" s="43"/>
      <c r="F94" s="44"/>
      <c r="G94" s="43"/>
      <c r="H94" s="44"/>
      <c r="I94" s="44"/>
      <c r="J94" s="44"/>
      <c r="K94" s="44"/>
      <c r="L94" s="44"/>
      <c r="M94" s="44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75" customHeight="1" x14ac:dyDescent="0.25">
      <c r="A95" s="8" t="s">
        <v>65</v>
      </c>
      <c r="B95" s="23"/>
      <c r="C95" s="34"/>
      <c r="D95" s="34"/>
      <c r="E95" s="34"/>
      <c r="F95" s="35"/>
      <c r="G95" s="34"/>
      <c r="H95" s="35"/>
      <c r="I95" s="35"/>
      <c r="J95" s="35"/>
      <c r="K95" s="35"/>
      <c r="L95" s="35"/>
      <c r="M95" s="35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75" customHeight="1" x14ac:dyDescent="0.25">
      <c r="A96" s="10" t="s">
        <v>69</v>
      </c>
      <c r="B96" s="23"/>
      <c r="C96" s="34"/>
      <c r="D96" s="34"/>
      <c r="E96" s="34"/>
      <c r="F96" s="35"/>
      <c r="G96" s="34"/>
      <c r="H96" s="35"/>
      <c r="I96" s="35"/>
      <c r="J96" s="35"/>
      <c r="K96" s="35"/>
      <c r="L96" s="35"/>
      <c r="M96" s="35"/>
      <c r="N96" s="45"/>
      <c r="O96" s="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75" customHeight="1" x14ac:dyDescent="0.25">
      <c r="A97" s="6">
        <v>43697</v>
      </c>
      <c r="B97" s="33">
        <v>2000</v>
      </c>
      <c r="C97" s="11"/>
      <c r="D97" s="11"/>
      <c r="E97" s="11"/>
      <c r="F97" s="11"/>
      <c r="G97" s="11"/>
      <c r="H97" s="33">
        <f>B97+C97+D97+E97+F97+G97</f>
        <v>2000</v>
      </c>
      <c r="I97" s="33">
        <v>0</v>
      </c>
      <c r="J97" s="33">
        <v>180</v>
      </c>
      <c r="K97" s="33"/>
      <c r="L97" s="33">
        <f>I97+J97+K97</f>
        <v>180</v>
      </c>
      <c r="M97" s="46">
        <f>H97-L97</f>
        <v>1820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75" customHeight="1" x14ac:dyDescent="0.25">
      <c r="A98" s="41" t="s">
        <v>76</v>
      </c>
      <c r="B98" s="42"/>
      <c r="C98" s="43"/>
      <c r="D98" s="43"/>
      <c r="E98" s="43"/>
      <c r="F98" s="44"/>
      <c r="G98" s="43"/>
      <c r="H98" s="44"/>
      <c r="I98" s="44"/>
      <c r="J98" s="44"/>
      <c r="K98" s="44"/>
      <c r="L98" s="44"/>
      <c r="M98" s="44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75" customHeight="1" x14ac:dyDescent="0.25">
      <c r="A99" s="8" t="s">
        <v>77</v>
      </c>
      <c r="B99" s="23"/>
      <c r="C99" s="34"/>
      <c r="D99" s="34"/>
      <c r="E99" s="34"/>
      <c r="F99" s="35"/>
      <c r="G99" s="34"/>
      <c r="H99" s="35"/>
      <c r="I99" s="35"/>
      <c r="J99" s="35"/>
      <c r="K99" s="35"/>
      <c r="L99" s="35"/>
      <c r="M99" s="35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75" customHeight="1" x14ac:dyDescent="0.25">
      <c r="A100" s="10" t="s">
        <v>69</v>
      </c>
      <c r="B100" s="23"/>
      <c r="C100" s="34"/>
      <c r="D100" s="34"/>
      <c r="E100" s="34"/>
      <c r="F100" s="35"/>
      <c r="G100" s="34"/>
      <c r="H100" s="35"/>
      <c r="I100" s="35"/>
      <c r="J100" s="35"/>
      <c r="K100" s="35"/>
      <c r="L100" s="35"/>
      <c r="M100" s="35"/>
      <c r="N100" s="45"/>
      <c r="O100" s="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75" customHeight="1" x14ac:dyDescent="0.25">
      <c r="A101" s="6">
        <v>43712</v>
      </c>
      <c r="B101" s="33">
        <v>1800</v>
      </c>
      <c r="C101" s="11"/>
      <c r="D101" s="11"/>
      <c r="E101" s="11"/>
      <c r="F101" s="11"/>
      <c r="G101" s="11"/>
      <c r="H101" s="33">
        <f>B101+C101+D101+E101+F101+G101</f>
        <v>1800</v>
      </c>
      <c r="I101" s="33"/>
      <c r="J101" s="33">
        <v>162</v>
      </c>
      <c r="K101" s="33"/>
      <c r="L101" s="33">
        <f>I101+J101+K101</f>
        <v>162</v>
      </c>
      <c r="M101" s="46">
        <f>H101-L101</f>
        <v>1638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75" customHeight="1" x14ac:dyDescent="0.25">
      <c r="A102" s="41" t="s">
        <v>78</v>
      </c>
      <c r="B102" s="42"/>
      <c r="C102" s="43"/>
      <c r="D102" s="43"/>
      <c r="E102" s="43"/>
      <c r="F102" s="44"/>
      <c r="G102" s="43"/>
      <c r="H102" s="44"/>
      <c r="I102" s="44"/>
      <c r="J102" s="44"/>
      <c r="K102" s="44"/>
      <c r="L102" s="44"/>
      <c r="M102" s="44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75" customHeight="1" x14ac:dyDescent="0.25">
      <c r="A103" s="8" t="s">
        <v>79</v>
      </c>
      <c r="B103" s="23"/>
      <c r="C103" s="34"/>
      <c r="D103" s="34"/>
      <c r="E103" s="34"/>
      <c r="F103" s="35"/>
      <c r="G103" s="34"/>
      <c r="H103" s="35"/>
      <c r="I103" s="35"/>
      <c r="J103" s="35"/>
      <c r="K103" s="35"/>
      <c r="L103" s="35"/>
      <c r="M103" s="35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75" customHeight="1" x14ac:dyDescent="0.25">
      <c r="A104" s="10" t="s">
        <v>69</v>
      </c>
      <c r="B104" s="23"/>
      <c r="C104" s="34"/>
      <c r="D104" s="34"/>
      <c r="E104" s="34"/>
      <c r="F104" s="35"/>
      <c r="G104" s="34"/>
      <c r="H104" s="35"/>
      <c r="I104" s="35"/>
      <c r="J104" s="35"/>
      <c r="K104" s="35"/>
      <c r="L104" s="35"/>
      <c r="M104" s="35"/>
      <c r="N104" s="45"/>
      <c r="O104" s="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75" customHeight="1" x14ac:dyDescent="0.25">
      <c r="A105" s="6">
        <v>43713</v>
      </c>
      <c r="B105" s="33">
        <v>1733.33</v>
      </c>
      <c r="C105" s="11"/>
      <c r="D105" s="11"/>
      <c r="E105" s="11"/>
      <c r="F105" s="11"/>
      <c r="G105" s="11"/>
      <c r="H105" s="33">
        <f>B105+C105+D105+E105+F105+G105</f>
        <v>1733.33</v>
      </c>
      <c r="I105" s="33"/>
      <c r="J105" s="33">
        <v>138.66</v>
      </c>
      <c r="K105" s="33"/>
      <c r="L105" s="33">
        <f>I105+J105+K105</f>
        <v>138.66</v>
      </c>
      <c r="M105" s="46">
        <f>H105-L105</f>
        <v>1594.6699999999998</v>
      </c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48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.75" customHeight="1" x14ac:dyDescent="0.2"/>
    <row r="307" spans="1:33" ht="15.75" customHeight="1" x14ac:dyDescent="0.2"/>
    <row r="308" spans="1:33" ht="15.75" customHeight="1" x14ac:dyDescent="0.2"/>
    <row r="309" spans="1:33" ht="15.75" customHeight="1" x14ac:dyDescent="0.2"/>
    <row r="310" spans="1:33" ht="15.75" customHeight="1" x14ac:dyDescent="0.2"/>
    <row r="311" spans="1:33" ht="15.75" customHeight="1" x14ac:dyDescent="0.2"/>
    <row r="312" spans="1:33" ht="15.75" customHeight="1" x14ac:dyDescent="0.2"/>
    <row r="313" spans="1:33" ht="15.75" customHeight="1" x14ac:dyDescent="0.2"/>
    <row r="314" spans="1:33" ht="15.75" customHeight="1" x14ac:dyDescent="0.2"/>
    <row r="315" spans="1:33" ht="15.75" customHeight="1" x14ac:dyDescent="0.2"/>
    <row r="316" spans="1:33" ht="15.75" customHeight="1" x14ac:dyDescent="0.2"/>
    <row r="317" spans="1:33" ht="15.75" customHeight="1" x14ac:dyDescent="0.2"/>
    <row r="318" spans="1:33" ht="15.75" customHeight="1" x14ac:dyDescent="0.2"/>
    <row r="319" spans="1:33" ht="15.75" customHeight="1" x14ac:dyDescent="0.2"/>
    <row r="320" spans="1:33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8">
    <mergeCell ref="J4:J6"/>
    <mergeCell ref="K4:K6"/>
    <mergeCell ref="L4:L6"/>
    <mergeCell ref="M4:M6"/>
    <mergeCell ref="A1:M1"/>
    <mergeCell ref="B4:B6"/>
    <mergeCell ref="C4:C6"/>
    <mergeCell ref="D4:D6"/>
    <mergeCell ref="E4:E6"/>
    <mergeCell ref="F4:F6"/>
    <mergeCell ref="G4:G6"/>
    <mergeCell ref="H4:H6"/>
    <mergeCell ref="I4:I6"/>
    <mergeCell ref="B7:M7"/>
    <mergeCell ref="G44:G46"/>
    <mergeCell ref="H44:H46"/>
    <mergeCell ref="J44:J46"/>
    <mergeCell ref="K44:K46"/>
    <mergeCell ref="L44:L46"/>
    <mergeCell ref="M44:M46"/>
    <mergeCell ref="C44:C46"/>
    <mergeCell ref="D44:D46"/>
    <mergeCell ref="E44:E46"/>
    <mergeCell ref="F44:F46"/>
    <mergeCell ref="I44:I46"/>
    <mergeCell ref="M91:M93"/>
    <mergeCell ref="B44:B46"/>
    <mergeCell ref="B91:B93"/>
    <mergeCell ref="C91:C93"/>
    <mergeCell ref="D91:D93"/>
    <mergeCell ref="E91:E93"/>
    <mergeCell ref="F91:F93"/>
    <mergeCell ref="G91:G93"/>
    <mergeCell ref="H91:H93"/>
    <mergeCell ref="I91:I93"/>
    <mergeCell ref="J91:J93"/>
    <mergeCell ref="K91:K93"/>
    <mergeCell ref="L91:L93"/>
  </mergeCells>
  <pageMargins left="0.51181102362204722" right="0.51181102362204722" top="0.73" bottom="0.27559055118110237" header="0" footer="0"/>
  <pageSetup paperSize="9" orientation="landscape"/>
  <rowBreaks count="2" manualBreakCount="2">
    <brk id="90" man="1"/>
    <brk id="4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1000"/>
  <sheetViews>
    <sheetView showGridLines="0" workbookViewId="0"/>
  </sheetViews>
  <sheetFormatPr defaultColWidth="12.625" defaultRowHeight="15" customHeight="1" x14ac:dyDescent="0.2"/>
  <cols>
    <col min="1" max="1" width="23.5" customWidth="1"/>
    <col min="2" max="2" width="10.875" customWidth="1"/>
    <col min="3" max="3" width="9.25" customWidth="1"/>
    <col min="4" max="5" width="9.125" customWidth="1"/>
    <col min="6" max="6" width="9.625" customWidth="1"/>
    <col min="7" max="7" width="9.25" customWidth="1"/>
    <col min="8" max="8" width="10.375" customWidth="1"/>
    <col min="9" max="11" width="8" customWidth="1"/>
    <col min="12" max="12" width="10.25" customWidth="1"/>
    <col min="13" max="13" width="15.375" customWidth="1"/>
    <col min="14" max="33" width="8" customWidth="1"/>
  </cols>
  <sheetData>
    <row r="1" spans="1:33" x14ac:dyDescent="0.25">
      <c r="A1" s="238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5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25">
      <c r="A2" s="90" t="s">
        <v>80</v>
      </c>
      <c r="B2" s="89">
        <v>2019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5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.75" customHeight="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5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4.25" customHeight="1" x14ac:dyDescent="0.25">
      <c r="A4" s="91" t="s">
        <v>2</v>
      </c>
      <c r="B4" s="231" t="s">
        <v>3</v>
      </c>
      <c r="C4" s="231" t="s">
        <v>4</v>
      </c>
      <c r="D4" s="228" t="s">
        <v>5</v>
      </c>
      <c r="E4" s="228" t="s">
        <v>6</v>
      </c>
      <c r="F4" s="228" t="s">
        <v>7</v>
      </c>
      <c r="G4" s="231" t="s">
        <v>8</v>
      </c>
      <c r="H4" s="228" t="s">
        <v>9</v>
      </c>
      <c r="I4" s="231" t="s">
        <v>10</v>
      </c>
      <c r="J4" s="231" t="s">
        <v>11</v>
      </c>
      <c r="K4" s="228" t="s">
        <v>12</v>
      </c>
      <c r="L4" s="228" t="s">
        <v>13</v>
      </c>
      <c r="M4" s="228" t="s">
        <v>14</v>
      </c>
      <c r="N4" s="5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75" customHeight="1" x14ac:dyDescent="0.25">
      <c r="A5" s="90" t="s">
        <v>15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5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75" customHeight="1" x14ac:dyDescent="0.25">
      <c r="A6" s="92" t="s">
        <v>16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5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20.25" customHeight="1" x14ac:dyDescent="0.25">
      <c r="A7" s="2" t="s">
        <v>17</v>
      </c>
      <c r="B7" s="235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5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8.75" customHeight="1" x14ac:dyDescent="0.25">
      <c r="A8" s="3" t="s">
        <v>18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5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75" customHeight="1" x14ac:dyDescent="0.25">
      <c r="A9" s="5" t="s">
        <v>19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5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8.75" customHeight="1" x14ac:dyDescent="0.25">
      <c r="A10" s="6">
        <v>43544</v>
      </c>
      <c r="B10" s="33">
        <v>6000</v>
      </c>
      <c r="C10" s="33"/>
      <c r="D10" s="33"/>
      <c r="E10" s="33"/>
      <c r="F10" s="33"/>
      <c r="G10" s="33"/>
      <c r="H10" s="33">
        <f>SUM(B10:G10)</f>
        <v>6000</v>
      </c>
      <c r="I10" s="33">
        <v>604</v>
      </c>
      <c r="J10" s="33">
        <v>642.33000000000004</v>
      </c>
      <c r="K10" s="33"/>
      <c r="L10" s="33">
        <f>SUM(I10:K10)</f>
        <v>1246.33</v>
      </c>
      <c r="M10" s="33">
        <f>H10-L10</f>
        <v>4753.67</v>
      </c>
      <c r="N10" s="5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8.75" customHeight="1" x14ac:dyDescent="0.25">
      <c r="A11" s="3" t="s">
        <v>67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5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5.75" customHeight="1" x14ac:dyDescent="0.25">
      <c r="A12" s="5" t="s">
        <v>59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5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8.75" customHeight="1" x14ac:dyDescent="0.25">
      <c r="A13" s="6">
        <v>43710</v>
      </c>
      <c r="B13" s="33">
        <v>2000</v>
      </c>
      <c r="C13" s="33"/>
      <c r="D13" s="33"/>
      <c r="E13" s="33"/>
      <c r="F13" s="33"/>
      <c r="G13" s="33">
        <v>500</v>
      </c>
      <c r="H13" s="33">
        <f>SUM(B13:G13)</f>
        <v>2500</v>
      </c>
      <c r="I13" s="33">
        <v>27.83</v>
      </c>
      <c r="J13" s="33">
        <v>225</v>
      </c>
      <c r="K13" s="33">
        <v>120</v>
      </c>
      <c r="L13" s="33">
        <f>SUM(I13:K13)</f>
        <v>372.83</v>
      </c>
      <c r="M13" s="33">
        <f>H13-L13</f>
        <v>2127.17</v>
      </c>
      <c r="N13" s="5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8.75" customHeight="1" x14ac:dyDescent="0.25">
      <c r="A14" s="3" t="s">
        <v>20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5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8.75" customHeight="1" x14ac:dyDescent="0.25">
      <c r="A15" s="5" t="s">
        <v>68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5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8.75" customHeight="1" x14ac:dyDescent="0.25">
      <c r="A16" s="6">
        <v>43606</v>
      </c>
      <c r="B16" s="11">
        <v>3000</v>
      </c>
      <c r="C16" s="11"/>
      <c r="D16" s="11"/>
      <c r="E16" s="11"/>
      <c r="F16" s="11"/>
      <c r="G16" s="11"/>
      <c r="H16" s="33">
        <f>SUM(B16:G16)</f>
        <v>3000</v>
      </c>
      <c r="I16" s="33">
        <v>57.45</v>
      </c>
      <c r="J16" s="33">
        <v>330</v>
      </c>
      <c r="K16" s="33">
        <v>180</v>
      </c>
      <c r="L16" s="33">
        <f>SUM(I16:K16)</f>
        <v>567.45000000000005</v>
      </c>
      <c r="M16" s="33">
        <f>H16-L16</f>
        <v>2432.5500000000002</v>
      </c>
      <c r="N16" s="5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x14ac:dyDescent="0.25">
      <c r="A17" s="3" t="s">
        <v>58</v>
      </c>
      <c r="B17" s="12"/>
      <c r="C17" s="34"/>
      <c r="D17" s="34"/>
      <c r="E17" s="34"/>
      <c r="F17" s="35"/>
      <c r="G17" s="34"/>
      <c r="H17" s="36"/>
      <c r="I17" s="36"/>
      <c r="J17" s="36"/>
      <c r="K17" s="36"/>
      <c r="L17" s="36"/>
      <c r="M17" s="36"/>
      <c r="N17" s="5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25">
      <c r="A18" s="5" t="s">
        <v>59</v>
      </c>
      <c r="B18" s="12"/>
      <c r="C18" s="34"/>
      <c r="D18" s="34"/>
      <c r="E18" s="34"/>
      <c r="F18" s="35"/>
      <c r="G18" s="34"/>
      <c r="H18" s="36"/>
      <c r="I18" s="36"/>
      <c r="J18" s="36"/>
      <c r="K18" s="36"/>
      <c r="L18" s="36"/>
      <c r="M18" s="36"/>
      <c r="N18" s="5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25">
      <c r="A19" s="6">
        <v>43623</v>
      </c>
      <c r="B19" s="11">
        <v>2000</v>
      </c>
      <c r="C19" s="11"/>
      <c r="D19" s="11"/>
      <c r="E19" s="11"/>
      <c r="F19" s="11"/>
      <c r="G19" s="11">
        <v>500</v>
      </c>
      <c r="H19" s="33">
        <f>SUM(B19:G19)</f>
        <v>2500</v>
      </c>
      <c r="I19" s="33">
        <v>27.83</v>
      </c>
      <c r="J19" s="33">
        <v>225</v>
      </c>
      <c r="K19" s="33">
        <v>120</v>
      </c>
      <c r="L19" s="33">
        <f>SUM(I19:K19)</f>
        <v>372.83</v>
      </c>
      <c r="M19" s="33">
        <f>H19-L19</f>
        <v>2127.17</v>
      </c>
      <c r="N19" s="5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x14ac:dyDescent="0.25">
      <c r="A20" s="3" t="s">
        <v>22</v>
      </c>
      <c r="B20" s="12"/>
      <c r="C20" s="34"/>
      <c r="D20" s="34"/>
      <c r="E20" s="34"/>
      <c r="F20" s="35"/>
      <c r="G20" s="34"/>
      <c r="H20" s="36"/>
      <c r="I20" s="36"/>
      <c r="J20" s="36"/>
      <c r="K20" s="36"/>
      <c r="L20" s="36"/>
      <c r="M20" s="36"/>
      <c r="N20" s="5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75" customHeight="1" x14ac:dyDescent="0.25">
      <c r="A21" s="5" t="s">
        <v>69</v>
      </c>
      <c r="B21" s="12"/>
      <c r="C21" s="34"/>
      <c r="D21" s="34"/>
      <c r="E21" s="34"/>
      <c r="F21" s="35"/>
      <c r="G21" s="34"/>
      <c r="H21" s="36"/>
      <c r="I21" s="36"/>
      <c r="J21" s="36"/>
      <c r="K21" s="36"/>
      <c r="L21" s="36"/>
      <c r="M21" s="36"/>
      <c r="N21" s="5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75" customHeight="1" x14ac:dyDescent="0.25">
      <c r="A22" s="6">
        <v>43507</v>
      </c>
      <c r="B22" s="11">
        <v>2000</v>
      </c>
      <c r="C22" s="11"/>
      <c r="D22" s="11"/>
      <c r="E22" s="11"/>
      <c r="F22" s="11"/>
      <c r="G22" s="11">
        <v>500</v>
      </c>
      <c r="H22" s="33">
        <f>B22+C22+D22+E22+F22+G22</f>
        <v>2500</v>
      </c>
      <c r="I22" s="33"/>
      <c r="J22" s="33">
        <v>225</v>
      </c>
      <c r="K22" s="33">
        <f>120</f>
        <v>120</v>
      </c>
      <c r="L22" s="33">
        <f>I22+J22+K22</f>
        <v>345</v>
      </c>
      <c r="M22" s="33">
        <f>H22-L22</f>
        <v>2155</v>
      </c>
      <c r="N22" s="5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75" customHeight="1" x14ac:dyDescent="0.25">
      <c r="A23" s="8" t="s">
        <v>24</v>
      </c>
      <c r="B23" s="12"/>
      <c r="C23" s="12"/>
      <c r="D23" s="12"/>
      <c r="E23" s="12"/>
      <c r="F23" s="12"/>
      <c r="G23" s="12"/>
      <c r="H23" s="23"/>
      <c r="I23" s="23"/>
      <c r="J23" s="23"/>
      <c r="K23" s="23"/>
      <c r="L23" s="23"/>
      <c r="M23" s="23"/>
      <c r="N23" s="5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75" customHeight="1" x14ac:dyDescent="0.25">
      <c r="A24" s="5" t="s">
        <v>81</v>
      </c>
      <c r="B24" s="12"/>
      <c r="C24" s="12"/>
      <c r="D24" s="12"/>
      <c r="E24" s="12"/>
      <c r="F24" s="12"/>
      <c r="G24" s="12"/>
      <c r="H24" s="23"/>
      <c r="I24" s="23"/>
      <c r="J24" s="23"/>
      <c r="K24" s="23"/>
      <c r="L24" s="23"/>
      <c r="M24" s="23"/>
      <c r="N24" s="5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75" customHeight="1" x14ac:dyDescent="0.25">
      <c r="A25" s="6">
        <v>43606</v>
      </c>
      <c r="B25" s="11">
        <v>3000</v>
      </c>
      <c r="C25" s="11"/>
      <c r="D25" s="11"/>
      <c r="E25" s="11"/>
      <c r="F25" s="11"/>
      <c r="G25" s="11"/>
      <c r="H25" s="33">
        <f>B25+C25+D25+E25+F25+G25</f>
        <v>3000</v>
      </c>
      <c r="I25" s="33">
        <v>29.01</v>
      </c>
      <c r="J25" s="33">
        <v>330</v>
      </c>
      <c r="K25" s="33"/>
      <c r="L25" s="33">
        <f>I25+J25+K25</f>
        <v>359.01</v>
      </c>
      <c r="M25" s="33">
        <f>H25-L25</f>
        <v>2640.99</v>
      </c>
      <c r="N25" s="5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75" customHeight="1" x14ac:dyDescent="0.25">
      <c r="A26" s="3" t="s">
        <v>25</v>
      </c>
      <c r="B26" s="12"/>
      <c r="C26" s="34"/>
      <c r="D26" s="34"/>
      <c r="E26" s="34"/>
      <c r="F26" s="35"/>
      <c r="G26" s="34"/>
      <c r="H26" s="36"/>
      <c r="I26" s="36"/>
      <c r="J26" s="36"/>
      <c r="K26" s="36"/>
      <c r="L26" s="36"/>
      <c r="M26" s="36"/>
      <c r="N26" s="5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75" customHeight="1" x14ac:dyDescent="0.25">
      <c r="A27" s="5" t="s">
        <v>71</v>
      </c>
      <c r="B27" s="12"/>
      <c r="C27" s="34"/>
      <c r="D27" s="34"/>
      <c r="E27" s="34"/>
      <c r="F27" s="35"/>
      <c r="G27" s="34"/>
      <c r="H27" s="36"/>
      <c r="I27" s="36"/>
      <c r="J27" s="36"/>
      <c r="K27" s="36"/>
      <c r="L27" s="36"/>
      <c r="M27" s="36"/>
      <c r="N27" s="5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75" customHeight="1" x14ac:dyDescent="0.25">
      <c r="A28" s="6">
        <v>43507</v>
      </c>
      <c r="B28" s="11">
        <v>6000</v>
      </c>
      <c r="C28" s="11"/>
      <c r="D28" s="11"/>
      <c r="E28" s="11"/>
      <c r="F28" s="11"/>
      <c r="G28" s="11"/>
      <c r="H28" s="33">
        <f>B28+C28+D28+E28+F28+G28</f>
        <v>6000</v>
      </c>
      <c r="I28" s="33">
        <v>604</v>
      </c>
      <c r="J28" s="33">
        <v>642.33000000000004</v>
      </c>
      <c r="K28" s="33"/>
      <c r="L28" s="33">
        <f>I28+J28+K28</f>
        <v>1246.33</v>
      </c>
      <c r="M28" s="33">
        <f>H28-L28</f>
        <v>4753.67</v>
      </c>
      <c r="N28" s="5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75" customHeight="1" x14ac:dyDescent="0.25">
      <c r="A29" s="3" t="s">
        <v>27</v>
      </c>
      <c r="B29" s="12"/>
      <c r="C29" s="34"/>
      <c r="D29" s="34"/>
      <c r="E29" s="34"/>
      <c r="F29" s="35"/>
      <c r="G29" s="34"/>
      <c r="H29" s="36"/>
      <c r="I29" s="36"/>
      <c r="J29" s="36"/>
      <c r="K29" s="36"/>
      <c r="L29" s="36"/>
      <c r="M29" s="36"/>
      <c r="N29" s="5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75" customHeight="1" x14ac:dyDescent="0.25">
      <c r="A30" s="5" t="s">
        <v>28</v>
      </c>
      <c r="B30" s="12"/>
      <c r="C30" s="34"/>
      <c r="D30" s="34"/>
      <c r="E30" s="34"/>
      <c r="F30" s="35"/>
      <c r="G30" s="34"/>
      <c r="H30" s="36"/>
      <c r="I30" s="36"/>
      <c r="J30" s="36"/>
      <c r="K30" s="36"/>
      <c r="L30" s="36"/>
      <c r="M30" s="36"/>
      <c r="N30" s="5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75" customHeight="1" x14ac:dyDescent="0.25">
      <c r="A31" s="6">
        <v>43507</v>
      </c>
      <c r="B31" s="11">
        <v>6000</v>
      </c>
      <c r="C31" s="11"/>
      <c r="D31" s="11"/>
      <c r="E31" s="11"/>
      <c r="F31" s="11"/>
      <c r="G31" s="11"/>
      <c r="H31" s="33">
        <f>B31+C31+D31+E31+F31+G31</f>
        <v>6000</v>
      </c>
      <c r="I31" s="33">
        <v>499.72</v>
      </c>
      <c r="J31" s="33">
        <v>642.33000000000004</v>
      </c>
      <c r="K31" s="33"/>
      <c r="L31" s="33">
        <f>I31+J31+K31</f>
        <v>1142.0500000000002</v>
      </c>
      <c r="M31" s="33">
        <f>H31-L31</f>
        <v>4857.95</v>
      </c>
      <c r="N31" s="5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75" customHeight="1" x14ac:dyDescent="0.25">
      <c r="A32" s="3" t="s">
        <v>61</v>
      </c>
      <c r="B32" s="12"/>
      <c r="C32" s="34"/>
      <c r="D32" s="34"/>
      <c r="E32" s="34"/>
      <c r="F32" s="35"/>
      <c r="G32" s="34"/>
      <c r="H32" s="36"/>
      <c r="I32" s="36"/>
      <c r="J32" s="36"/>
      <c r="K32" s="36"/>
      <c r="L32" s="36"/>
      <c r="M32" s="36"/>
      <c r="N32" s="5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75" customHeight="1" x14ac:dyDescent="0.25">
      <c r="A33" s="47" t="s">
        <v>26</v>
      </c>
      <c r="B33" s="12"/>
      <c r="C33" s="34"/>
      <c r="D33" s="34"/>
      <c r="E33" s="34"/>
      <c r="F33" s="35"/>
      <c r="G33" s="34"/>
      <c r="H33" s="36"/>
      <c r="I33" s="36"/>
      <c r="J33" s="36"/>
      <c r="K33" s="36"/>
      <c r="L33" s="36"/>
      <c r="M33" s="36"/>
      <c r="N33" s="5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75" customHeight="1" x14ac:dyDescent="0.25">
      <c r="A34" s="6">
        <v>43678</v>
      </c>
      <c r="B34" s="11">
        <v>6000</v>
      </c>
      <c r="C34" s="11"/>
      <c r="D34" s="11"/>
      <c r="E34" s="11"/>
      <c r="F34" s="11"/>
      <c r="G34" s="11"/>
      <c r="H34" s="33">
        <f>B34+C34+D34+E34+F34+G34</f>
        <v>6000</v>
      </c>
      <c r="I34" s="33">
        <v>499.72</v>
      </c>
      <c r="J34" s="33">
        <v>642.33000000000004</v>
      </c>
      <c r="K34" s="33">
        <v>200</v>
      </c>
      <c r="L34" s="33">
        <f>I34+J34+K34</f>
        <v>1342.0500000000002</v>
      </c>
      <c r="M34" s="33">
        <f>H34-L34</f>
        <v>4657.95</v>
      </c>
      <c r="N34" s="5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75" customHeight="1" x14ac:dyDescent="0.25">
      <c r="A35" s="3" t="s">
        <v>62</v>
      </c>
      <c r="B35" s="12"/>
      <c r="C35" s="34"/>
      <c r="D35" s="34"/>
      <c r="E35" s="34"/>
      <c r="F35" s="35"/>
      <c r="G35" s="34"/>
      <c r="H35" s="36"/>
      <c r="I35" s="36"/>
      <c r="J35" s="36"/>
      <c r="K35" s="36"/>
      <c r="L35" s="36"/>
      <c r="M35" s="36"/>
      <c r="N35" s="5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75" customHeight="1" x14ac:dyDescent="0.25">
      <c r="A36" s="5" t="s">
        <v>82</v>
      </c>
      <c r="B36" s="12"/>
      <c r="C36" s="34"/>
      <c r="D36" s="34"/>
      <c r="E36" s="34"/>
      <c r="F36" s="35"/>
      <c r="G36" s="34"/>
      <c r="H36" s="36"/>
      <c r="I36" s="36"/>
      <c r="J36" s="36"/>
      <c r="K36" s="36"/>
      <c r="L36" s="36"/>
      <c r="M36" s="36"/>
      <c r="N36" s="5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75" customHeight="1" x14ac:dyDescent="0.25">
      <c r="A37" s="6">
        <v>43703</v>
      </c>
      <c r="B37" s="11">
        <v>2200</v>
      </c>
      <c r="C37" s="11"/>
      <c r="D37" s="11"/>
      <c r="E37" s="11"/>
      <c r="F37" s="11"/>
      <c r="G37" s="11"/>
      <c r="H37" s="33">
        <f>B37+C37+D37+E37+F37+G37</f>
        <v>2200</v>
      </c>
      <c r="I37" s="33"/>
      <c r="J37" s="33">
        <v>198</v>
      </c>
      <c r="K37" s="33">
        <v>132</v>
      </c>
      <c r="L37" s="33">
        <f>I37+J37+K37</f>
        <v>330</v>
      </c>
      <c r="M37" s="33">
        <f>H37-L37</f>
        <v>1870</v>
      </c>
      <c r="N37" s="5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75" customHeight="1" x14ac:dyDescent="0.25">
      <c r="A38" s="3" t="s">
        <v>29</v>
      </c>
      <c r="B38" s="12"/>
      <c r="C38" s="34"/>
      <c r="D38" s="34"/>
      <c r="E38" s="34"/>
      <c r="F38" s="35"/>
      <c r="G38" s="34"/>
      <c r="H38" s="36"/>
      <c r="I38" s="36"/>
      <c r="J38" s="36"/>
      <c r="K38" s="36"/>
      <c r="L38" s="36"/>
      <c r="M38" s="36"/>
      <c r="N38" s="5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 customHeight="1" x14ac:dyDescent="0.25">
      <c r="A39" s="5" t="s">
        <v>30</v>
      </c>
      <c r="B39" s="12"/>
      <c r="C39" s="34"/>
      <c r="D39" s="34"/>
      <c r="E39" s="34"/>
      <c r="F39" s="35"/>
      <c r="G39" s="34"/>
      <c r="H39" s="36"/>
      <c r="I39" s="36"/>
      <c r="J39" s="36"/>
      <c r="K39" s="36"/>
      <c r="L39" s="36"/>
      <c r="M39" s="36"/>
      <c r="N39" s="5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 customHeight="1" x14ac:dyDescent="0.25">
      <c r="A40" s="6">
        <v>43507</v>
      </c>
      <c r="B40" s="11">
        <v>6000</v>
      </c>
      <c r="C40" s="11"/>
      <c r="D40" s="11"/>
      <c r="E40" s="11"/>
      <c r="F40" s="11"/>
      <c r="G40" s="11"/>
      <c r="H40" s="33">
        <f>B40+C40+D40+E40+F40+G40</f>
        <v>6000</v>
      </c>
      <c r="I40" s="33">
        <v>700.79</v>
      </c>
      <c r="J40" s="33">
        <v>290.38</v>
      </c>
      <c r="K40" s="33"/>
      <c r="L40" s="33">
        <f>I40+J40+K40</f>
        <v>991.17</v>
      </c>
      <c r="M40" s="33">
        <f>H40-L40</f>
        <v>5008.83</v>
      </c>
      <c r="N40" s="5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customHeight="1" x14ac:dyDescent="0.25">
      <c r="A41" s="3" t="s">
        <v>31</v>
      </c>
      <c r="B41" s="12"/>
      <c r="C41" s="34"/>
      <c r="D41" s="34"/>
      <c r="E41" s="34"/>
      <c r="F41" s="35"/>
      <c r="G41" s="34"/>
      <c r="H41" s="36"/>
      <c r="I41" s="36"/>
      <c r="J41" s="36"/>
      <c r="K41" s="36"/>
      <c r="L41" s="36"/>
      <c r="M41" s="36"/>
      <c r="N41" s="5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customHeight="1" x14ac:dyDescent="0.25">
      <c r="A42" s="5" t="s">
        <v>32</v>
      </c>
      <c r="B42" s="12"/>
      <c r="C42" s="34"/>
      <c r="D42" s="34"/>
      <c r="E42" s="34"/>
      <c r="F42" s="35"/>
      <c r="G42" s="34"/>
      <c r="H42" s="36"/>
      <c r="I42" s="36"/>
      <c r="J42" s="36"/>
      <c r="K42" s="36"/>
      <c r="L42" s="36"/>
      <c r="M42" s="36"/>
      <c r="N42" s="5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3.5" customHeight="1" x14ac:dyDescent="0.25">
      <c r="A43" s="97">
        <v>43507</v>
      </c>
      <c r="B43" s="98">
        <v>7000</v>
      </c>
      <c r="C43" s="98"/>
      <c r="D43" s="98"/>
      <c r="E43" s="98"/>
      <c r="F43" s="98"/>
      <c r="G43" s="98"/>
      <c r="H43" s="33">
        <f>B43+C43+D43+E43+F43+G43</f>
        <v>7000</v>
      </c>
      <c r="I43" s="33">
        <v>774.72</v>
      </c>
      <c r="J43" s="33">
        <v>642.33000000000004</v>
      </c>
      <c r="K43" s="33"/>
      <c r="L43" s="33">
        <f>I43+J43+K43</f>
        <v>1417.0500000000002</v>
      </c>
      <c r="M43" s="33">
        <f>H43-L43</f>
        <v>5582.95</v>
      </c>
      <c r="N43" s="5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customHeight="1" x14ac:dyDescent="0.25">
      <c r="A44" s="3" t="s">
        <v>83</v>
      </c>
      <c r="B44" s="12"/>
      <c r="C44" s="34"/>
      <c r="D44" s="34"/>
      <c r="E44" s="34"/>
      <c r="F44" s="35"/>
      <c r="G44" s="34"/>
      <c r="H44" s="36"/>
      <c r="I44" s="36"/>
      <c r="J44" s="36"/>
      <c r="K44" s="36"/>
      <c r="L44" s="36"/>
      <c r="M44" s="36"/>
      <c r="N44" s="5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customHeight="1" x14ac:dyDescent="0.25">
      <c r="A45" s="5" t="s">
        <v>84</v>
      </c>
      <c r="B45" s="12"/>
      <c r="C45" s="34"/>
      <c r="D45" s="34"/>
      <c r="E45" s="34"/>
      <c r="F45" s="35"/>
      <c r="G45" s="34"/>
      <c r="H45" s="36"/>
      <c r="I45" s="36"/>
      <c r="J45" s="36"/>
      <c r="K45" s="36"/>
      <c r="L45" s="36"/>
      <c r="M45" s="36"/>
      <c r="N45" s="5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3.5" customHeight="1" x14ac:dyDescent="0.25">
      <c r="A46" s="97">
        <v>43745</v>
      </c>
      <c r="B46" s="98">
        <v>1666.67</v>
      </c>
      <c r="C46" s="98"/>
      <c r="D46" s="98"/>
      <c r="E46" s="98"/>
      <c r="F46" s="98"/>
      <c r="G46" s="98"/>
      <c r="H46" s="33">
        <f>B46+C46+D46+E46+F46+G46</f>
        <v>1666.67</v>
      </c>
      <c r="I46" s="33"/>
      <c r="J46" s="33">
        <v>133.33000000000001</v>
      </c>
      <c r="K46" s="33">
        <f>120+100</f>
        <v>220</v>
      </c>
      <c r="L46" s="33">
        <f>I46+J46+K46</f>
        <v>353.33000000000004</v>
      </c>
      <c r="M46" s="33">
        <f>H46-L46</f>
        <v>1313.3400000000001</v>
      </c>
      <c r="N46" s="5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customHeight="1" x14ac:dyDescent="0.25">
      <c r="A47" s="14" t="s">
        <v>2</v>
      </c>
      <c r="B47" s="231" t="s">
        <v>3</v>
      </c>
      <c r="C47" s="231" t="s">
        <v>4</v>
      </c>
      <c r="D47" s="228" t="s">
        <v>5</v>
      </c>
      <c r="E47" s="228" t="s">
        <v>6</v>
      </c>
      <c r="F47" s="228" t="s">
        <v>7</v>
      </c>
      <c r="G47" s="231" t="s">
        <v>8</v>
      </c>
      <c r="H47" s="228" t="s">
        <v>9</v>
      </c>
      <c r="I47" s="231" t="s">
        <v>10</v>
      </c>
      <c r="J47" s="231" t="s">
        <v>11</v>
      </c>
      <c r="K47" s="228" t="s">
        <v>12</v>
      </c>
      <c r="L47" s="228" t="s">
        <v>13</v>
      </c>
      <c r="M47" s="228" t="s">
        <v>14</v>
      </c>
      <c r="N47" s="5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customHeight="1" x14ac:dyDescent="0.25">
      <c r="A48" s="90" t="s">
        <v>15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5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customHeight="1" x14ac:dyDescent="0.25">
      <c r="A49" s="96" t="s">
        <v>16</v>
      </c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5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customHeight="1" x14ac:dyDescent="0.25">
      <c r="A50" s="15" t="s">
        <v>33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5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customHeight="1" x14ac:dyDescent="0.25">
      <c r="A51" s="47" t="s">
        <v>73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5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customHeight="1" x14ac:dyDescent="0.25">
      <c r="A52" s="5" t="s">
        <v>69</v>
      </c>
      <c r="B52" s="12"/>
      <c r="C52" s="12"/>
      <c r="D52" s="12"/>
      <c r="E52" s="12"/>
      <c r="F52" s="12"/>
      <c r="G52" s="12"/>
      <c r="H52" s="23"/>
      <c r="I52" s="23"/>
      <c r="J52" s="23"/>
      <c r="K52" s="23"/>
      <c r="L52" s="23"/>
      <c r="M52" s="23"/>
      <c r="N52" s="5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 customHeight="1" x14ac:dyDescent="0.25">
      <c r="A53" s="6">
        <v>43712</v>
      </c>
      <c r="B53" s="11">
        <v>2000</v>
      </c>
      <c r="C53" s="11"/>
      <c r="D53" s="11"/>
      <c r="E53" s="11"/>
      <c r="F53" s="11"/>
      <c r="G53" s="11"/>
      <c r="H53" s="33">
        <f>SUM(B53:G53)</f>
        <v>2000</v>
      </c>
      <c r="I53" s="33"/>
      <c r="J53" s="33">
        <v>180</v>
      </c>
      <c r="K53" s="33">
        <v>120</v>
      </c>
      <c r="L53" s="33">
        <f>SUM(I53:K53)</f>
        <v>300</v>
      </c>
      <c r="M53" s="33">
        <f>H53-L53</f>
        <v>1700</v>
      </c>
      <c r="N53" s="5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customHeight="1" x14ac:dyDescent="0.25">
      <c r="A54" s="17" t="s">
        <v>34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5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customHeight="1" x14ac:dyDescent="0.25">
      <c r="A55" s="5" t="s">
        <v>35</v>
      </c>
      <c r="B55" s="12"/>
      <c r="C55" s="12"/>
      <c r="D55" s="12"/>
      <c r="E55" s="12"/>
      <c r="F55" s="12"/>
      <c r="G55" s="12"/>
      <c r="H55" s="23"/>
      <c r="I55" s="23"/>
      <c r="J55" s="23"/>
      <c r="K55" s="23"/>
      <c r="L55" s="23"/>
      <c r="M55" s="23"/>
      <c r="N55" s="5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75" customHeight="1" x14ac:dyDescent="0.25">
      <c r="A56" s="6">
        <v>43525</v>
      </c>
      <c r="B56" s="11">
        <v>6000</v>
      </c>
      <c r="C56" s="11"/>
      <c r="D56" s="11"/>
      <c r="E56" s="11"/>
      <c r="F56" s="11"/>
      <c r="G56" s="11"/>
      <c r="H56" s="33">
        <f>SUM(B56:G56)</f>
        <v>6000</v>
      </c>
      <c r="I56" s="33">
        <v>551.86</v>
      </c>
      <c r="J56" s="33">
        <v>642.33000000000004</v>
      </c>
      <c r="K56" s="33"/>
      <c r="L56" s="33">
        <f>SUM(I56:K56)</f>
        <v>1194.19</v>
      </c>
      <c r="M56" s="33">
        <f>H56-L56</f>
        <v>4805.8099999999995</v>
      </c>
      <c r="N56" s="5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customHeight="1" x14ac:dyDescent="0.25">
      <c r="A57" s="3" t="s">
        <v>36</v>
      </c>
      <c r="B57" s="12"/>
      <c r="C57" s="34"/>
      <c r="D57" s="34"/>
      <c r="E57" s="34"/>
      <c r="F57" s="35"/>
      <c r="G57" s="34"/>
      <c r="H57" s="36"/>
      <c r="I57" s="36"/>
      <c r="J57" s="36"/>
      <c r="K57" s="36"/>
      <c r="L57" s="36"/>
      <c r="M57" s="36"/>
      <c r="N57" s="5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customHeight="1" x14ac:dyDescent="0.25">
      <c r="A58" s="5" t="s">
        <v>69</v>
      </c>
      <c r="B58" s="12"/>
      <c r="C58" s="34"/>
      <c r="D58" s="34"/>
      <c r="E58" s="34"/>
      <c r="F58" s="35"/>
      <c r="G58" s="34"/>
      <c r="H58" s="36"/>
      <c r="I58" s="36"/>
      <c r="J58" s="36"/>
      <c r="K58" s="36"/>
      <c r="L58" s="36"/>
      <c r="M58" s="36"/>
      <c r="N58" s="5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customHeight="1" x14ac:dyDescent="0.25">
      <c r="A59" s="6">
        <v>43507</v>
      </c>
      <c r="B59" s="33">
        <v>2000</v>
      </c>
      <c r="C59" s="11"/>
      <c r="D59" s="11"/>
      <c r="E59" s="11"/>
      <c r="F59" s="11"/>
      <c r="G59" s="11">
        <v>500</v>
      </c>
      <c r="H59" s="33">
        <f>B59+C59+D59+E59+F59+G59</f>
        <v>2500</v>
      </c>
      <c r="I59" s="33">
        <v>27.83</v>
      </c>
      <c r="J59" s="33">
        <v>225</v>
      </c>
      <c r="K59" s="33">
        <f>120</f>
        <v>120</v>
      </c>
      <c r="L59" s="33">
        <f>I59+J59+K59</f>
        <v>372.83</v>
      </c>
      <c r="M59" s="33">
        <f>H59-L59</f>
        <v>2127.17</v>
      </c>
      <c r="N59" s="5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customHeight="1" x14ac:dyDescent="0.25">
      <c r="A60" s="3" t="s">
        <v>37</v>
      </c>
      <c r="B60" s="23"/>
      <c r="C60" s="34"/>
      <c r="D60" s="34"/>
      <c r="E60" s="34"/>
      <c r="F60" s="35"/>
      <c r="G60" s="34"/>
      <c r="H60" s="36"/>
      <c r="I60" s="36"/>
      <c r="J60" s="36"/>
      <c r="K60" s="36"/>
      <c r="L60" s="36"/>
      <c r="M60" s="36"/>
      <c r="N60" s="5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customHeight="1" x14ac:dyDescent="0.25">
      <c r="A61" s="5" t="s">
        <v>38</v>
      </c>
      <c r="B61" s="23"/>
      <c r="C61" s="34"/>
      <c r="D61" s="34"/>
      <c r="E61" s="34"/>
      <c r="F61" s="35"/>
      <c r="G61" s="34"/>
      <c r="H61" s="36"/>
      <c r="I61" s="36"/>
      <c r="J61" s="36"/>
      <c r="K61" s="36"/>
      <c r="L61" s="36"/>
      <c r="M61" s="36"/>
      <c r="N61" s="5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customHeight="1" x14ac:dyDescent="0.25">
      <c r="A62" s="6">
        <v>43507</v>
      </c>
      <c r="B62" s="33">
        <v>1400</v>
      </c>
      <c r="C62" s="11"/>
      <c r="D62" s="11"/>
      <c r="E62" s="11"/>
      <c r="F62" s="11"/>
      <c r="G62" s="11"/>
      <c r="H62" s="33">
        <f>B62+C62+D62+E62+F62+G62</f>
        <v>1400</v>
      </c>
      <c r="I62" s="33"/>
      <c r="J62" s="33">
        <v>112</v>
      </c>
      <c r="K62" s="33">
        <f>84</f>
        <v>84</v>
      </c>
      <c r="L62" s="33">
        <f>I62+J62+K62</f>
        <v>196</v>
      </c>
      <c r="M62" s="33">
        <f>H62-L62</f>
        <v>1204</v>
      </c>
      <c r="N62" s="5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customHeight="1" x14ac:dyDescent="0.25">
      <c r="A63" s="3" t="s">
        <v>39</v>
      </c>
      <c r="B63" s="23"/>
      <c r="C63" s="34"/>
      <c r="D63" s="34"/>
      <c r="E63" s="34"/>
      <c r="F63" s="35"/>
      <c r="G63" s="34"/>
      <c r="H63" s="36"/>
      <c r="I63" s="36"/>
      <c r="J63" s="36"/>
      <c r="K63" s="36"/>
      <c r="L63" s="36"/>
      <c r="M63" s="36"/>
      <c r="N63" s="5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customHeight="1" x14ac:dyDescent="0.25">
      <c r="A64" s="47" t="s">
        <v>74</v>
      </c>
      <c r="B64" s="23"/>
      <c r="C64" s="34"/>
      <c r="D64" s="34"/>
      <c r="E64" s="34"/>
      <c r="F64" s="35"/>
      <c r="G64" s="34"/>
      <c r="H64" s="36"/>
      <c r="I64" s="36"/>
      <c r="J64" s="36"/>
      <c r="K64" s="36"/>
      <c r="L64" s="36"/>
      <c r="M64" s="36"/>
      <c r="N64" s="5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customHeight="1" x14ac:dyDescent="0.25">
      <c r="A65" s="6">
        <v>43507</v>
      </c>
      <c r="B65" s="33">
        <v>4200</v>
      </c>
      <c r="C65" s="11"/>
      <c r="D65" s="11"/>
      <c r="E65" s="11"/>
      <c r="F65" s="11"/>
      <c r="G65" s="11"/>
      <c r="H65" s="33">
        <f>B65+C65+D65+E65+F65+G65</f>
        <v>4200</v>
      </c>
      <c r="I65" s="33">
        <v>149.02000000000001</v>
      </c>
      <c r="J65" s="33">
        <v>462</v>
      </c>
      <c r="K65" s="33"/>
      <c r="L65" s="33">
        <f>I65+J65+K65</f>
        <v>611.02</v>
      </c>
      <c r="M65" s="33">
        <f>H65-L65</f>
        <v>3588.98</v>
      </c>
      <c r="N65" s="5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customHeight="1" x14ac:dyDescent="0.25">
      <c r="A66" s="8" t="s">
        <v>41</v>
      </c>
      <c r="B66" s="23"/>
      <c r="C66" s="12"/>
      <c r="D66" s="12"/>
      <c r="E66" s="12"/>
      <c r="F66" s="12"/>
      <c r="G66" s="12"/>
      <c r="H66" s="23"/>
      <c r="I66" s="23"/>
      <c r="J66" s="23"/>
      <c r="K66" s="23"/>
      <c r="L66" s="23"/>
      <c r="M66" s="23"/>
      <c r="N66" s="5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customHeight="1" x14ac:dyDescent="0.25">
      <c r="A67" s="10" t="s">
        <v>38</v>
      </c>
      <c r="B67" s="23"/>
      <c r="C67" s="12"/>
      <c r="D67" s="12"/>
      <c r="E67" s="12"/>
      <c r="F67" s="12"/>
      <c r="G67" s="12"/>
      <c r="H67" s="23"/>
      <c r="I67" s="23"/>
      <c r="J67" s="23"/>
      <c r="K67" s="23"/>
      <c r="L67" s="23"/>
      <c r="M67" s="23"/>
      <c r="N67" s="5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customHeight="1" x14ac:dyDescent="0.25">
      <c r="A68" s="10">
        <v>43557</v>
      </c>
      <c r="B68" s="23">
        <v>1400</v>
      </c>
      <c r="C68" s="12"/>
      <c r="D68" s="12"/>
      <c r="E68" s="12"/>
      <c r="F68" s="12"/>
      <c r="G68" s="12"/>
      <c r="H68" s="23">
        <f>SUM(B68:G68)</f>
        <v>1400</v>
      </c>
      <c r="I68" s="23"/>
      <c r="J68" s="23">
        <v>112</v>
      </c>
      <c r="K68" s="23">
        <v>84</v>
      </c>
      <c r="L68" s="23">
        <f>I68+J68+K68</f>
        <v>196</v>
      </c>
      <c r="M68" s="23">
        <f>H68-L68</f>
        <v>1204</v>
      </c>
      <c r="N68" s="5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customHeight="1" x14ac:dyDescent="0.25">
      <c r="A69" s="25" t="s">
        <v>42</v>
      </c>
      <c r="B69" s="37"/>
      <c r="C69" s="26"/>
      <c r="D69" s="26"/>
      <c r="E69" s="26"/>
      <c r="F69" s="26"/>
      <c r="G69" s="26"/>
      <c r="H69" s="37"/>
      <c r="I69" s="37"/>
      <c r="J69" s="37"/>
      <c r="K69" s="37"/>
      <c r="L69" s="37"/>
      <c r="M69" s="37"/>
      <c r="N69" s="5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customHeight="1" x14ac:dyDescent="0.25">
      <c r="A70" s="3" t="s">
        <v>63</v>
      </c>
      <c r="B70" s="23"/>
      <c r="C70" s="34"/>
      <c r="D70" s="34"/>
      <c r="E70" s="34"/>
      <c r="F70" s="35"/>
      <c r="G70" s="34"/>
      <c r="H70" s="36"/>
      <c r="I70" s="36"/>
      <c r="J70" s="36"/>
      <c r="K70" s="36"/>
      <c r="L70" s="36"/>
      <c r="M70" s="36"/>
      <c r="N70" s="5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customHeight="1" x14ac:dyDescent="0.25">
      <c r="A71" s="5" t="s">
        <v>69</v>
      </c>
      <c r="B71" s="23"/>
      <c r="C71" s="34"/>
      <c r="D71" s="34"/>
      <c r="E71" s="34"/>
      <c r="F71" s="35"/>
      <c r="G71" s="34"/>
      <c r="H71" s="36"/>
      <c r="I71" s="36"/>
      <c r="J71" s="36"/>
      <c r="K71" s="36"/>
      <c r="L71" s="36"/>
      <c r="M71" s="36"/>
      <c r="N71" s="52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75" customHeight="1" x14ac:dyDescent="0.25">
      <c r="A72" s="6">
        <v>43697</v>
      </c>
      <c r="B72" s="33">
        <v>2000</v>
      </c>
      <c r="C72" s="11"/>
      <c r="D72" s="11"/>
      <c r="E72" s="11"/>
      <c r="F72" s="11"/>
      <c r="G72" s="11"/>
      <c r="H72" s="33">
        <f>SUM(B72:G72)</f>
        <v>2000</v>
      </c>
      <c r="I72" s="33"/>
      <c r="J72" s="33">
        <v>180</v>
      </c>
      <c r="K72" s="33">
        <v>0</v>
      </c>
      <c r="L72" s="33">
        <f>I72+J72+K72</f>
        <v>180</v>
      </c>
      <c r="M72" s="33">
        <f>H72-L72</f>
        <v>1820</v>
      </c>
      <c r="N72" s="5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75" customHeight="1" x14ac:dyDescent="0.25">
      <c r="A73" s="3" t="s">
        <v>43</v>
      </c>
      <c r="B73" s="23"/>
      <c r="C73" s="34"/>
      <c r="D73" s="34"/>
      <c r="E73" s="34"/>
      <c r="F73" s="35"/>
      <c r="G73" s="34"/>
      <c r="H73" s="36"/>
      <c r="I73" s="36"/>
      <c r="J73" s="36"/>
      <c r="K73" s="36"/>
      <c r="L73" s="36"/>
      <c r="M73" s="36"/>
      <c r="N73" s="52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75" customHeight="1" x14ac:dyDescent="0.25">
      <c r="A74" s="5" t="s">
        <v>44</v>
      </c>
      <c r="B74" s="23"/>
      <c r="C74" s="34"/>
      <c r="D74" s="34"/>
      <c r="E74" s="34"/>
      <c r="F74" s="35"/>
      <c r="G74" s="34"/>
      <c r="H74" s="36"/>
      <c r="I74" s="36"/>
      <c r="J74" s="36"/>
      <c r="K74" s="36"/>
      <c r="L74" s="36"/>
      <c r="M74" s="36"/>
      <c r="N74" s="52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75" customHeight="1" x14ac:dyDescent="0.25">
      <c r="A75" s="6">
        <v>43535</v>
      </c>
      <c r="B75" s="33">
        <v>3000</v>
      </c>
      <c r="C75" s="11"/>
      <c r="D75" s="11"/>
      <c r="E75" s="11"/>
      <c r="F75" s="11"/>
      <c r="G75" s="11"/>
      <c r="H75" s="33">
        <f>B75+C75+D75+E75+F75+G75</f>
        <v>3000</v>
      </c>
      <c r="I75" s="33">
        <v>29.01</v>
      </c>
      <c r="J75" s="33">
        <v>330</v>
      </c>
      <c r="K75" s="33"/>
      <c r="L75" s="33">
        <f>I75+J75+K75</f>
        <v>359.01</v>
      </c>
      <c r="M75" s="33">
        <f>H75-L75</f>
        <v>2640.99</v>
      </c>
      <c r="N75" s="52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75" customHeight="1" x14ac:dyDescent="0.25">
      <c r="A76" s="28" t="s">
        <v>45</v>
      </c>
      <c r="B76" s="37"/>
      <c r="C76" s="38"/>
      <c r="D76" s="38"/>
      <c r="E76" s="38"/>
      <c r="F76" s="39"/>
      <c r="G76" s="38"/>
      <c r="H76" s="40"/>
      <c r="I76" s="40"/>
      <c r="J76" s="40"/>
      <c r="K76" s="40"/>
      <c r="L76" s="40"/>
      <c r="M76" s="40"/>
      <c r="N76" s="52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75" customHeight="1" x14ac:dyDescent="0.25">
      <c r="A77" s="3" t="s">
        <v>46</v>
      </c>
      <c r="B77" s="23"/>
      <c r="C77" s="34"/>
      <c r="D77" s="34"/>
      <c r="E77" s="34"/>
      <c r="F77" s="35"/>
      <c r="G77" s="34"/>
      <c r="H77" s="36"/>
      <c r="I77" s="36"/>
      <c r="J77" s="36"/>
      <c r="K77" s="36"/>
      <c r="L77" s="36"/>
      <c r="M77" s="36"/>
      <c r="N77" s="52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75" customHeight="1" x14ac:dyDescent="0.25">
      <c r="A78" s="5" t="s">
        <v>44</v>
      </c>
      <c r="B78" s="23"/>
      <c r="C78" s="34"/>
      <c r="D78" s="34"/>
      <c r="E78" s="34"/>
      <c r="F78" s="35"/>
      <c r="G78" s="34"/>
      <c r="H78" s="36"/>
      <c r="I78" s="36"/>
      <c r="J78" s="36"/>
      <c r="K78" s="36"/>
      <c r="L78" s="36"/>
      <c r="M78" s="36"/>
      <c r="N78" s="52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75" customHeight="1" x14ac:dyDescent="0.25">
      <c r="A79" s="6">
        <v>43535</v>
      </c>
      <c r="B79" s="33">
        <v>3000</v>
      </c>
      <c r="C79" s="11"/>
      <c r="D79" s="11"/>
      <c r="E79" s="11"/>
      <c r="F79" s="11"/>
      <c r="G79" s="11"/>
      <c r="H79" s="33">
        <f>B79+C79+D79+E79+F79+G79</f>
        <v>3000</v>
      </c>
      <c r="I79" s="33">
        <v>43.23</v>
      </c>
      <c r="J79" s="33">
        <v>330</v>
      </c>
      <c r="K79" s="33"/>
      <c r="L79" s="33">
        <f>I79+J79+K79</f>
        <v>373.23</v>
      </c>
      <c r="M79" s="33">
        <f>H79-L79</f>
        <v>2626.77</v>
      </c>
      <c r="N79" s="52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75" customHeight="1" x14ac:dyDescent="0.25">
      <c r="A80" s="8" t="s">
        <v>47</v>
      </c>
      <c r="B80" s="23"/>
      <c r="C80" s="12"/>
      <c r="D80" s="12"/>
      <c r="E80" s="12"/>
      <c r="F80" s="12"/>
      <c r="G80" s="12"/>
      <c r="H80" s="23"/>
      <c r="I80" s="23"/>
      <c r="J80" s="23"/>
      <c r="K80" s="23"/>
      <c r="L80" s="23"/>
      <c r="M80" s="23"/>
      <c r="N80" s="52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75" customHeight="1" x14ac:dyDescent="0.25">
      <c r="A81" s="10" t="s">
        <v>69</v>
      </c>
      <c r="B81" s="23"/>
      <c r="C81" s="12"/>
      <c r="D81" s="12"/>
      <c r="E81" s="12"/>
      <c r="F81" s="12"/>
      <c r="G81" s="12"/>
      <c r="H81" s="23"/>
      <c r="I81" s="23"/>
      <c r="J81" s="23"/>
      <c r="K81" s="23"/>
      <c r="L81" s="23"/>
      <c r="M81" s="23"/>
      <c r="N81" s="52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75" customHeight="1" x14ac:dyDescent="0.25">
      <c r="A82" s="10">
        <v>43567</v>
      </c>
      <c r="B82" s="23">
        <v>2000</v>
      </c>
      <c r="C82" s="12"/>
      <c r="D82" s="12"/>
      <c r="E82" s="12"/>
      <c r="F82" s="12"/>
      <c r="G82" s="12"/>
      <c r="H82" s="23">
        <f>SUM(B82:G82)</f>
        <v>2000</v>
      </c>
      <c r="I82" s="23"/>
      <c r="J82" s="23">
        <v>180</v>
      </c>
      <c r="K82" s="23"/>
      <c r="L82" s="23">
        <f>SUM(I82:K82)</f>
        <v>180</v>
      </c>
      <c r="M82" s="23">
        <f>H82-L82</f>
        <v>1820</v>
      </c>
      <c r="N82" s="52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75" customHeight="1" x14ac:dyDescent="0.25">
      <c r="A83" s="28" t="s">
        <v>48</v>
      </c>
      <c r="B83" s="37"/>
      <c r="C83" s="38"/>
      <c r="D83" s="38"/>
      <c r="E83" s="38"/>
      <c r="F83" s="39"/>
      <c r="G83" s="38"/>
      <c r="H83" s="39"/>
      <c r="I83" s="39"/>
      <c r="J83" s="39"/>
      <c r="K83" s="39"/>
      <c r="L83" s="39"/>
      <c r="M83" s="3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75" customHeight="1" x14ac:dyDescent="0.25">
      <c r="A84" s="8" t="s">
        <v>49</v>
      </c>
      <c r="B84" s="23"/>
      <c r="C84" s="34"/>
      <c r="D84" s="34"/>
      <c r="E84" s="34"/>
      <c r="F84" s="35"/>
      <c r="G84" s="34"/>
      <c r="H84" s="35"/>
      <c r="I84" s="35"/>
      <c r="J84" s="35"/>
      <c r="K84" s="35"/>
      <c r="L84" s="35"/>
      <c r="M84" s="35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75" customHeight="1" x14ac:dyDescent="0.25">
      <c r="A85" s="5" t="s">
        <v>69</v>
      </c>
      <c r="B85" s="23"/>
      <c r="C85" s="34"/>
      <c r="D85" s="34"/>
      <c r="E85" s="34"/>
      <c r="F85" s="35"/>
      <c r="G85" s="34"/>
      <c r="H85" s="35"/>
      <c r="I85" s="35"/>
      <c r="J85" s="35"/>
      <c r="K85" s="35"/>
      <c r="L85" s="35"/>
      <c r="M85" s="35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75" customHeight="1" x14ac:dyDescent="0.25">
      <c r="A86" s="6">
        <v>43535</v>
      </c>
      <c r="B86" s="33">
        <v>2000</v>
      </c>
      <c r="C86" s="11"/>
      <c r="D86" s="11"/>
      <c r="E86" s="11"/>
      <c r="F86" s="11"/>
      <c r="G86" s="11"/>
      <c r="H86" s="33">
        <f>B86+C86+D86+E86+F86+G86</f>
        <v>2000</v>
      </c>
      <c r="I86" s="33"/>
      <c r="J86" s="33">
        <v>180</v>
      </c>
      <c r="K86" s="33">
        <v>0</v>
      </c>
      <c r="L86" s="33">
        <f>SUM(I86:K86)</f>
        <v>180</v>
      </c>
      <c r="M86" s="33">
        <f>H86-L86</f>
        <v>1820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75" customHeight="1" x14ac:dyDescent="0.25">
      <c r="A87" s="8" t="s">
        <v>75</v>
      </c>
      <c r="B87" s="23"/>
      <c r="C87" s="34"/>
      <c r="D87" s="34"/>
      <c r="E87" s="34"/>
      <c r="F87" s="35"/>
      <c r="G87" s="34"/>
      <c r="H87" s="35"/>
      <c r="I87" s="35"/>
      <c r="J87" s="35"/>
      <c r="K87" s="35"/>
      <c r="L87" s="35"/>
      <c r="M87" s="35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75" customHeight="1" x14ac:dyDescent="0.25">
      <c r="A88" s="5" t="s">
        <v>38</v>
      </c>
      <c r="B88" s="23"/>
      <c r="C88" s="34"/>
      <c r="D88" s="34"/>
      <c r="E88" s="34"/>
      <c r="F88" s="35"/>
      <c r="G88" s="34"/>
      <c r="H88" s="35"/>
      <c r="I88" s="35"/>
      <c r="J88" s="35"/>
      <c r="K88" s="35"/>
      <c r="L88" s="35"/>
      <c r="M88" s="35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75" customHeight="1" x14ac:dyDescent="0.25">
      <c r="A89" s="6">
        <v>43718</v>
      </c>
      <c r="B89" s="33">
        <v>1400</v>
      </c>
      <c r="C89" s="11"/>
      <c r="D89" s="11"/>
      <c r="E89" s="11"/>
      <c r="F89" s="11"/>
      <c r="G89" s="11"/>
      <c r="H89" s="33">
        <f>B89+C89+D89+E89+F89+G89</f>
        <v>1400</v>
      </c>
      <c r="I89" s="33"/>
      <c r="J89" s="33">
        <v>112</v>
      </c>
      <c r="K89" s="33">
        <v>0</v>
      </c>
      <c r="L89" s="33">
        <f>SUM(I89:K89)</f>
        <v>112</v>
      </c>
      <c r="M89" s="33">
        <f>H89-L89</f>
        <v>1288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75" customHeight="1" x14ac:dyDescent="0.25">
      <c r="A90" s="28" t="s">
        <v>50</v>
      </c>
      <c r="B90" s="37"/>
      <c r="C90" s="38"/>
      <c r="D90" s="38"/>
      <c r="E90" s="38"/>
      <c r="F90" s="39"/>
      <c r="G90" s="38"/>
      <c r="H90" s="39"/>
      <c r="I90" s="39"/>
      <c r="J90" s="39"/>
      <c r="K90" s="39"/>
      <c r="L90" s="39"/>
      <c r="M90" s="39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75" customHeight="1" x14ac:dyDescent="0.25">
      <c r="A91" s="8" t="s">
        <v>51</v>
      </c>
      <c r="B91" s="23"/>
      <c r="C91" s="34"/>
      <c r="D91" s="34"/>
      <c r="E91" s="34"/>
      <c r="F91" s="35"/>
      <c r="G91" s="34"/>
      <c r="H91" s="35"/>
      <c r="I91" s="35"/>
      <c r="J91" s="35"/>
      <c r="K91" s="35"/>
      <c r="L91" s="35"/>
      <c r="M91" s="35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75" customHeight="1" x14ac:dyDescent="0.25">
      <c r="A92" s="5" t="s">
        <v>52</v>
      </c>
      <c r="B92" s="23"/>
      <c r="C92" s="34"/>
      <c r="D92" s="34"/>
      <c r="E92" s="34"/>
      <c r="F92" s="35"/>
      <c r="G92" s="34"/>
      <c r="H92" s="35"/>
      <c r="I92" s="35"/>
      <c r="J92" s="35"/>
      <c r="K92" s="35"/>
      <c r="L92" s="35"/>
      <c r="M92" s="35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75" customHeight="1" x14ac:dyDescent="0.25">
      <c r="A93" s="97">
        <v>43556</v>
      </c>
      <c r="B93" s="99">
        <v>4000</v>
      </c>
      <c r="C93" s="98"/>
      <c r="D93" s="98"/>
      <c r="E93" s="98"/>
      <c r="F93" s="98"/>
      <c r="G93" s="98"/>
      <c r="H93" s="99">
        <f>B93+C93+D93+E93+F93+G93</f>
        <v>4000</v>
      </c>
      <c r="I93" s="99">
        <v>122.32</v>
      </c>
      <c r="J93" s="99">
        <v>440</v>
      </c>
      <c r="K93" s="99"/>
      <c r="L93" s="99">
        <f>I93+J93+K93</f>
        <v>562.31999999999994</v>
      </c>
      <c r="M93" s="99">
        <f>H93-L93</f>
        <v>3437.6800000000003</v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75" customHeight="1" x14ac:dyDescent="0.25">
      <c r="A94" s="8" t="s">
        <v>85</v>
      </c>
      <c r="B94" s="23"/>
      <c r="C94" s="34"/>
      <c r="D94" s="34"/>
      <c r="E94" s="34"/>
      <c r="F94" s="35"/>
      <c r="G94" s="34"/>
      <c r="H94" s="35"/>
      <c r="I94" s="35"/>
      <c r="J94" s="35"/>
      <c r="K94" s="35"/>
      <c r="L94" s="35"/>
      <c r="M94" s="35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75" customHeight="1" x14ac:dyDescent="0.25">
      <c r="A95" s="5" t="s">
        <v>69</v>
      </c>
      <c r="B95" s="23"/>
      <c r="C95" s="34"/>
      <c r="D95" s="34"/>
      <c r="E95" s="34"/>
      <c r="F95" s="35"/>
      <c r="G95" s="34"/>
      <c r="H95" s="35"/>
      <c r="I95" s="35"/>
      <c r="J95" s="35"/>
      <c r="K95" s="35"/>
      <c r="L95" s="35"/>
      <c r="M95" s="35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75" customHeight="1" x14ac:dyDescent="0.25">
      <c r="A96" s="97">
        <v>43753</v>
      </c>
      <c r="B96" s="99">
        <v>1133.33</v>
      </c>
      <c r="C96" s="98"/>
      <c r="D96" s="98"/>
      <c r="E96" s="98"/>
      <c r="F96" s="98"/>
      <c r="G96" s="98"/>
      <c r="H96" s="99">
        <f>B96+C96+D96+E96+F96+G96</f>
        <v>1133.33</v>
      </c>
      <c r="I96" s="99"/>
      <c r="J96" s="99">
        <v>90.66</v>
      </c>
      <c r="K96" s="99">
        <f>120+68</f>
        <v>188</v>
      </c>
      <c r="L96" s="99">
        <f>I96+J96+K96</f>
        <v>278.65999999999997</v>
      </c>
      <c r="M96" s="99">
        <f>H96-L96</f>
        <v>854.67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75" customHeight="1" x14ac:dyDescent="0.25">
      <c r="A97" s="91" t="s">
        <v>2</v>
      </c>
      <c r="B97" s="240" t="s">
        <v>3</v>
      </c>
      <c r="C97" s="240" t="s">
        <v>4</v>
      </c>
      <c r="D97" s="239" t="s">
        <v>5</v>
      </c>
      <c r="E97" s="239" t="s">
        <v>6</v>
      </c>
      <c r="F97" s="239" t="s">
        <v>7</v>
      </c>
      <c r="G97" s="240" t="s">
        <v>8</v>
      </c>
      <c r="H97" s="239" t="s">
        <v>9</v>
      </c>
      <c r="I97" s="240" t="s">
        <v>10</v>
      </c>
      <c r="J97" s="240" t="s">
        <v>11</v>
      </c>
      <c r="K97" s="239" t="s">
        <v>12</v>
      </c>
      <c r="L97" s="239" t="s">
        <v>13</v>
      </c>
      <c r="M97" s="239" t="s">
        <v>14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75" customHeight="1" x14ac:dyDescent="0.25">
      <c r="A98" s="90" t="s">
        <v>15</v>
      </c>
      <c r="B98" s="229"/>
      <c r="C98" s="229"/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75" customHeight="1" x14ac:dyDescent="0.25">
      <c r="A99" s="96" t="s">
        <v>16</v>
      </c>
      <c r="B99" s="230"/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75" customHeight="1" x14ac:dyDescent="0.25">
      <c r="A100" s="41" t="s">
        <v>64</v>
      </c>
      <c r="B100" s="42"/>
      <c r="C100" s="43"/>
      <c r="D100" s="43"/>
      <c r="E100" s="43"/>
      <c r="F100" s="44"/>
      <c r="G100" s="43"/>
      <c r="H100" s="44"/>
      <c r="I100" s="44"/>
      <c r="J100" s="44"/>
      <c r="K100" s="44"/>
      <c r="L100" s="44"/>
      <c r="M100" s="44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75" customHeight="1" x14ac:dyDescent="0.25">
      <c r="A101" s="8" t="s">
        <v>65</v>
      </c>
      <c r="B101" s="23"/>
      <c r="C101" s="34"/>
      <c r="D101" s="34"/>
      <c r="E101" s="34"/>
      <c r="F101" s="35"/>
      <c r="G101" s="34"/>
      <c r="H101" s="35"/>
      <c r="I101" s="35"/>
      <c r="J101" s="35"/>
      <c r="K101" s="35"/>
      <c r="L101" s="35"/>
      <c r="M101" s="35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75" customHeight="1" x14ac:dyDescent="0.25">
      <c r="A102" s="10" t="s">
        <v>69</v>
      </c>
      <c r="B102" s="23"/>
      <c r="C102" s="34"/>
      <c r="D102" s="34"/>
      <c r="E102" s="34"/>
      <c r="F102" s="35"/>
      <c r="G102" s="34"/>
      <c r="H102" s="35"/>
      <c r="I102" s="35"/>
      <c r="J102" s="35"/>
      <c r="K102" s="35"/>
      <c r="L102" s="35"/>
      <c r="M102" s="35"/>
      <c r="N102" s="45"/>
      <c r="O102" s="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75" customHeight="1" x14ac:dyDescent="0.25">
      <c r="A103" s="6">
        <v>43697</v>
      </c>
      <c r="B103" s="33">
        <v>2000</v>
      </c>
      <c r="C103" s="11"/>
      <c r="D103" s="11"/>
      <c r="E103" s="11"/>
      <c r="F103" s="11"/>
      <c r="G103" s="11"/>
      <c r="H103" s="33">
        <f>B103+C103+D103+E103+F103+G103</f>
        <v>2000</v>
      </c>
      <c r="I103" s="33">
        <v>0</v>
      </c>
      <c r="J103" s="33">
        <v>180</v>
      </c>
      <c r="K103" s="33"/>
      <c r="L103" s="33">
        <f>I103+J103+K103</f>
        <v>180</v>
      </c>
      <c r="M103" s="46">
        <f>H103-L103</f>
        <v>1820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75" customHeight="1" x14ac:dyDescent="0.25">
      <c r="A104" s="41" t="s">
        <v>76</v>
      </c>
      <c r="B104" s="42"/>
      <c r="C104" s="43"/>
      <c r="D104" s="43"/>
      <c r="E104" s="43"/>
      <c r="F104" s="44"/>
      <c r="G104" s="43"/>
      <c r="H104" s="44"/>
      <c r="I104" s="44"/>
      <c r="J104" s="44"/>
      <c r="K104" s="44"/>
      <c r="L104" s="44"/>
      <c r="M104" s="44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75" customHeight="1" x14ac:dyDescent="0.25">
      <c r="A105" s="8" t="s">
        <v>77</v>
      </c>
      <c r="B105" s="23"/>
      <c r="C105" s="34"/>
      <c r="D105" s="34"/>
      <c r="E105" s="34"/>
      <c r="F105" s="35"/>
      <c r="G105" s="34"/>
      <c r="H105" s="35"/>
      <c r="I105" s="35"/>
      <c r="J105" s="35"/>
      <c r="K105" s="35"/>
      <c r="L105" s="35"/>
      <c r="M105" s="35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75" customHeight="1" x14ac:dyDescent="0.25">
      <c r="A106" s="10" t="s">
        <v>69</v>
      </c>
      <c r="B106" s="23"/>
      <c r="C106" s="34"/>
      <c r="D106" s="34"/>
      <c r="E106" s="34"/>
      <c r="F106" s="35"/>
      <c r="G106" s="34"/>
      <c r="H106" s="35"/>
      <c r="I106" s="35"/>
      <c r="J106" s="35"/>
      <c r="K106" s="35"/>
      <c r="L106" s="35"/>
      <c r="M106" s="35"/>
      <c r="N106" s="45"/>
      <c r="O106" s="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75" customHeight="1" x14ac:dyDescent="0.25">
      <c r="A107" s="6">
        <v>43712</v>
      </c>
      <c r="B107" s="33">
        <v>2000</v>
      </c>
      <c r="C107" s="11"/>
      <c r="D107" s="11"/>
      <c r="E107" s="11"/>
      <c r="F107" s="11"/>
      <c r="G107" s="11"/>
      <c r="H107" s="33">
        <f>B107+C107+D107+E107+F107+G107</f>
        <v>2000</v>
      </c>
      <c r="I107" s="33"/>
      <c r="J107" s="33">
        <v>180</v>
      </c>
      <c r="K107" s="33"/>
      <c r="L107" s="33">
        <f>I107+J107+K107</f>
        <v>180</v>
      </c>
      <c r="M107" s="46">
        <f>H107-L107</f>
        <v>1820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75" customHeight="1" x14ac:dyDescent="0.25">
      <c r="A108" s="41" t="s">
        <v>78</v>
      </c>
      <c r="B108" s="42"/>
      <c r="C108" s="43"/>
      <c r="D108" s="43"/>
      <c r="E108" s="43"/>
      <c r="F108" s="44"/>
      <c r="G108" s="43"/>
      <c r="H108" s="44"/>
      <c r="I108" s="44"/>
      <c r="J108" s="44"/>
      <c r="K108" s="44"/>
      <c r="L108" s="44"/>
      <c r="M108" s="44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75" customHeight="1" x14ac:dyDescent="0.25">
      <c r="A109" s="8" t="s">
        <v>79</v>
      </c>
      <c r="B109" s="23"/>
      <c r="C109" s="34"/>
      <c r="D109" s="34"/>
      <c r="E109" s="34"/>
      <c r="F109" s="35"/>
      <c r="G109" s="34"/>
      <c r="H109" s="35"/>
      <c r="I109" s="35"/>
      <c r="J109" s="35"/>
      <c r="K109" s="35"/>
      <c r="L109" s="35"/>
      <c r="M109" s="35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75" customHeight="1" x14ac:dyDescent="0.25">
      <c r="A110" s="10" t="s">
        <v>69</v>
      </c>
      <c r="B110" s="23"/>
      <c r="C110" s="34"/>
      <c r="D110" s="34"/>
      <c r="E110" s="34"/>
      <c r="F110" s="35"/>
      <c r="G110" s="34"/>
      <c r="H110" s="35"/>
      <c r="I110" s="35"/>
      <c r="J110" s="35"/>
      <c r="K110" s="35"/>
      <c r="L110" s="35"/>
      <c r="M110" s="35"/>
      <c r="N110" s="45"/>
      <c r="O110" s="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75" customHeight="1" x14ac:dyDescent="0.25">
      <c r="A111" s="6">
        <v>43713</v>
      </c>
      <c r="B111" s="33">
        <v>2000</v>
      </c>
      <c r="C111" s="11"/>
      <c r="D111" s="11"/>
      <c r="E111" s="11"/>
      <c r="F111" s="11"/>
      <c r="G111" s="11"/>
      <c r="H111" s="33">
        <f>B111+C111+D111+E111+F111+G111</f>
        <v>2000</v>
      </c>
      <c r="I111" s="33"/>
      <c r="J111" s="33">
        <v>180</v>
      </c>
      <c r="K111" s="33"/>
      <c r="L111" s="33">
        <f>I111+J111+K111</f>
        <v>180</v>
      </c>
      <c r="M111" s="46">
        <f>H111-L111</f>
        <v>1820</v>
      </c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75" customHeight="1" x14ac:dyDescent="0.25">
      <c r="A112" s="8" t="s">
        <v>86</v>
      </c>
      <c r="B112" s="23"/>
      <c r="C112" s="34"/>
      <c r="D112" s="34"/>
      <c r="E112" s="34"/>
      <c r="F112" s="35"/>
      <c r="G112" s="34"/>
      <c r="H112" s="35"/>
      <c r="I112" s="35"/>
      <c r="J112" s="35"/>
      <c r="K112" s="35"/>
      <c r="L112" s="35"/>
      <c r="M112" s="35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75" customHeight="1" x14ac:dyDescent="0.25">
      <c r="A113" s="10" t="s">
        <v>59</v>
      </c>
      <c r="B113" s="23"/>
      <c r="C113" s="34"/>
      <c r="D113" s="34"/>
      <c r="E113" s="34"/>
      <c r="F113" s="35"/>
      <c r="G113" s="34"/>
      <c r="H113" s="35"/>
      <c r="I113" s="35"/>
      <c r="J113" s="35"/>
      <c r="K113" s="35"/>
      <c r="L113" s="35"/>
      <c r="M113" s="35"/>
      <c r="N113" s="45"/>
      <c r="O113" s="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75" customHeight="1" x14ac:dyDescent="0.25">
      <c r="A114" s="6">
        <v>43762</v>
      </c>
      <c r="B114" s="33">
        <v>533.33000000000004</v>
      </c>
      <c r="C114" s="11"/>
      <c r="D114" s="11"/>
      <c r="E114" s="11"/>
      <c r="F114" s="11"/>
      <c r="G114" s="11"/>
      <c r="H114" s="33">
        <f>B114+C114+D114+E114+F114+G114</f>
        <v>533.33000000000004</v>
      </c>
      <c r="I114" s="33"/>
      <c r="J114" s="33">
        <v>42.66</v>
      </c>
      <c r="K114" s="33"/>
      <c r="L114" s="33">
        <f>I114+J114+K114</f>
        <v>42.66</v>
      </c>
      <c r="M114" s="46">
        <f>H114-L114</f>
        <v>490.67000000000007</v>
      </c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48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5.75" customHeight="1" x14ac:dyDescent="0.2"/>
    <row r="316" spans="1:33" ht="15.75" customHeight="1" x14ac:dyDescent="0.2"/>
    <row r="317" spans="1:33" ht="15.75" customHeight="1" x14ac:dyDescent="0.2"/>
    <row r="318" spans="1:33" ht="15.75" customHeight="1" x14ac:dyDescent="0.2"/>
    <row r="319" spans="1:33" ht="15.75" customHeight="1" x14ac:dyDescent="0.2"/>
    <row r="320" spans="1:33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8">
    <mergeCell ref="J4:J6"/>
    <mergeCell ref="K4:K6"/>
    <mergeCell ref="L4:L6"/>
    <mergeCell ref="M4:M6"/>
    <mergeCell ref="A1:M1"/>
    <mergeCell ref="B4:B6"/>
    <mergeCell ref="C4:C6"/>
    <mergeCell ref="D4:D6"/>
    <mergeCell ref="E4:E6"/>
    <mergeCell ref="F4:F6"/>
    <mergeCell ref="G4:G6"/>
    <mergeCell ref="H4:H6"/>
    <mergeCell ref="I4:I6"/>
    <mergeCell ref="B7:M7"/>
    <mergeCell ref="G47:G49"/>
    <mergeCell ref="H47:H49"/>
    <mergeCell ref="J47:J49"/>
    <mergeCell ref="K47:K49"/>
    <mergeCell ref="L47:L49"/>
    <mergeCell ref="M47:M49"/>
    <mergeCell ref="C47:C49"/>
    <mergeCell ref="D47:D49"/>
    <mergeCell ref="E47:E49"/>
    <mergeCell ref="F47:F49"/>
    <mergeCell ref="I47:I49"/>
    <mergeCell ref="M97:M99"/>
    <mergeCell ref="B47:B49"/>
    <mergeCell ref="B97:B99"/>
    <mergeCell ref="C97:C99"/>
    <mergeCell ref="D97:D99"/>
    <mergeCell ref="E97:E99"/>
    <mergeCell ref="F97:F99"/>
    <mergeCell ref="G97:G99"/>
    <mergeCell ref="H97:H99"/>
    <mergeCell ref="I97:I99"/>
    <mergeCell ref="J97:J99"/>
    <mergeCell ref="K97:K99"/>
    <mergeCell ref="L97:L99"/>
  </mergeCells>
  <pageMargins left="0.51181102362204722" right="0.51181102362204722" top="0.73" bottom="0.27559055118110237" header="0" footer="0"/>
  <pageSetup paperSize="9" orientation="landscape"/>
  <rowBreaks count="2" manualBreakCount="2">
    <brk id="89" man="1"/>
    <brk id="4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1000"/>
  <sheetViews>
    <sheetView workbookViewId="0"/>
  </sheetViews>
  <sheetFormatPr defaultColWidth="12.625" defaultRowHeight="15" customHeight="1" x14ac:dyDescent="0.2"/>
  <cols>
    <col min="1" max="1" width="23.5" customWidth="1"/>
    <col min="2" max="2" width="10.875" customWidth="1"/>
    <col min="3" max="3" width="9.25" customWidth="1"/>
    <col min="4" max="5" width="9.125" customWidth="1"/>
    <col min="6" max="6" width="9.625" customWidth="1"/>
    <col min="7" max="7" width="9.25" customWidth="1"/>
    <col min="8" max="8" width="10.375" customWidth="1"/>
    <col min="9" max="11" width="8" customWidth="1"/>
    <col min="12" max="12" width="10.25" customWidth="1"/>
    <col min="13" max="13" width="15.375" customWidth="1"/>
    <col min="14" max="33" width="8" customWidth="1"/>
  </cols>
  <sheetData>
    <row r="1" spans="1:33" x14ac:dyDescent="0.25">
      <c r="A1" s="238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5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25">
      <c r="A2" s="90" t="s">
        <v>87</v>
      </c>
      <c r="B2" s="89">
        <v>2019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5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5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x14ac:dyDescent="0.25">
      <c r="A4" s="91" t="s">
        <v>2</v>
      </c>
      <c r="B4" s="231" t="s">
        <v>3</v>
      </c>
      <c r="C4" s="231" t="s">
        <v>4</v>
      </c>
      <c r="D4" s="228" t="s">
        <v>5</v>
      </c>
      <c r="E4" s="228" t="s">
        <v>6</v>
      </c>
      <c r="F4" s="228" t="s">
        <v>7</v>
      </c>
      <c r="G4" s="231" t="s">
        <v>8</v>
      </c>
      <c r="H4" s="228" t="s">
        <v>9</v>
      </c>
      <c r="I4" s="231" t="s">
        <v>10</v>
      </c>
      <c r="J4" s="231" t="s">
        <v>11</v>
      </c>
      <c r="K4" s="228" t="s">
        <v>12</v>
      </c>
      <c r="L4" s="228" t="s">
        <v>13</v>
      </c>
      <c r="M4" s="228" t="s">
        <v>14</v>
      </c>
      <c r="N4" s="5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x14ac:dyDescent="0.25">
      <c r="A5" s="90" t="s">
        <v>15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5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5">
      <c r="A6" s="92" t="s">
        <v>16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5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x14ac:dyDescent="0.25">
      <c r="A7" s="2" t="s">
        <v>17</v>
      </c>
      <c r="B7" s="235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5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x14ac:dyDescent="0.25">
      <c r="A8" s="3" t="s">
        <v>18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5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x14ac:dyDescent="0.25">
      <c r="A9" s="5" t="s">
        <v>19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5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x14ac:dyDescent="0.25">
      <c r="A10" s="6">
        <v>43544</v>
      </c>
      <c r="B10" s="33">
        <v>6000</v>
      </c>
      <c r="C10" s="33"/>
      <c r="D10" s="33"/>
      <c r="E10" s="33"/>
      <c r="F10" s="33"/>
      <c r="G10" s="33"/>
      <c r="H10" s="33">
        <f>SUM(B10:G10)</f>
        <v>6000</v>
      </c>
      <c r="I10" s="33">
        <v>604</v>
      </c>
      <c r="J10" s="33">
        <v>642.33000000000004</v>
      </c>
      <c r="K10" s="33"/>
      <c r="L10" s="33">
        <f>SUM(I10:K10)</f>
        <v>1246.33</v>
      </c>
      <c r="M10" s="33">
        <f>H10-L10</f>
        <v>4753.67</v>
      </c>
      <c r="N10" s="5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x14ac:dyDescent="0.25">
      <c r="A11" s="3" t="s">
        <v>67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5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x14ac:dyDescent="0.25">
      <c r="A12" s="5" t="s">
        <v>59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5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x14ac:dyDescent="0.25">
      <c r="A13" s="6">
        <v>43710</v>
      </c>
      <c r="B13" s="33">
        <v>2000</v>
      </c>
      <c r="C13" s="33"/>
      <c r="D13" s="33"/>
      <c r="E13" s="33"/>
      <c r="F13" s="33"/>
      <c r="G13" s="33">
        <v>500</v>
      </c>
      <c r="H13" s="33">
        <f>SUM(B13:G13)</f>
        <v>2500</v>
      </c>
      <c r="I13" s="33">
        <v>27.83</v>
      </c>
      <c r="J13" s="33">
        <v>225</v>
      </c>
      <c r="K13" s="33">
        <v>120</v>
      </c>
      <c r="L13" s="33">
        <f>SUM(I13:K13)</f>
        <v>372.83</v>
      </c>
      <c r="M13" s="33">
        <f>H13-L13</f>
        <v>2127.17</v>
      </c>
      <c r="N13" s="5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x14ac:dyDescent="0.25">
      <c r="A14" s="3" t="s">
        <v>20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5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x14ac:dyDescent="0.25">
      <c r="A15" s="5" t="s">
        <v>68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5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x14ac:dyDescent="0.25">
      <c r="A16" s="6">
        <v>43606</v>
      </c>
      <c r="B16" s="11">
        <v>3000</v>
      </c>
      <c r="C16" s="11"/>
      <c r="D16" s="11"/>
      <c r="E16" s="11"/>
      <c r="F16" s="11"/>
      <c r="G16" s="11"/>
      <c r="H16" s="33">
        <f>SUM(B16:G16)</f>
        <v>3000</v>
      </c>
      <c r="I16" s="33">
        <v>57.45</v>
      </c>
      <c r="J16" s="33">
        <v>330</v>
      </c>
      <c r="K16" s="33"/>
      <c r="L16" s="33">
        <f>SUM(I16:K16)</f>
        <v>387.45</v>
      </c>
      <c r="M16" s="33">
        <f>H16-L16</f>
        <v>2612.5500000000002</v>
      </c>
      <c r="N16" s="5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x14ac:dyDescent="0.25">
      <c r="A17" s="3" t="s">
        <v>58</v>
      </c>
      <c r="B17" s="12"/>
      <c r="C17" s="34"/>
      <c r="D17" s="34"/>
      <c r="E17" s="34"/>
      <c r="F17" s="35"/>
      <c r="G17" s="34"/>
      <c r="H17" s="36"/>
      <c r="I17" s="36"/>
      <c r="J17" s="36"/>
      <c r="K17" s="36"/>
      <c r="L17" s="36"/>
      <c r="M17" s="36"/>
      <c r="N17" s="5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25">
      <c r="A18" s="5" t="s">
        <v>59</v>
      </c>
      <c r="B18" s="12"/>
      <c r="C18" s="34"/>
      <c r="D18" s="34"/>
      <c r="E18" s="34"/>
      <c r="F18" s="35"/>
      <c r="G18" s="34"/>
      <c r="H18" s="36"/>
      <c r="I18" s="36"/>
      <c r="J18" s="36"/>
      <c r="K18" s="36"/>
      <c r="L18" s="36"/>
      <c r="M18" s="36"/>
      <c r="N18" s="5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25">
      <c r="A19" s="6">
        <v>43623</v>
      </c>
      <c r="B19" s="11">
        <v>2000</v>
      </c>
      <c r="C19" s="11"/>
      <c r="D19" s="11"/>
      <c r="E19" s="11"/>
      <c r="F19" s="11"/>
      <c r="G19" s="11">
        <v>500</v>
      </c>
      <c r="H19" s="33">
        <f>SUM(B19:G19)</f>
        <v>2500</v>
      </c>
      <c r="I19" s="33">
        <v>27.83</v>
      </c>
      <c r="J19" s="33">
        <v>225</v>
      </c>
      <c r="K19" s="33">
        <v>120</v>
      </c>
      <c r="L19" s="33">
        <f>SUM(I19:K19)</f>
        <v>372.83</v>
      </c>
      <c r="M19" s="33">
        <f>H19-L19</f>
        <v>2127.17</v>
      </c>
      <c r="N19" s="5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x14ac:dyDescent="0.25">
      <c r="A20" s="3" t="s">
        <v>22</v>
      </c>
      <c r="B20" s="12"/>
      <c r="C20" s="34"/>
      <c r="D20" s="34"/>
      <c r="E20" s="34"/>
      <c r="F20" s="35"/>
      <c r="G20" s="34"/>
      <c r="H20" s="36"/>
      <c r="I20" s="36"/>
      <c r="J20" s="36"/>
      <c r="K20" s="36"/>
      <c r="L20" s="36"/>
      <c r="M20" s="36"/>
      <c r="N20" s="5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75" customHeight="1" x14ac:dyDescent="0.25">
      <c r="A21" s="5" t="s">
        <v>69</v>
      </c>
      <c r="B21" s="12"/>
      <c r="C21" s="34"/>
      <c r="D21" s="34"/>
      <c r="E21" s="34"/>
      <c r="F21" s="35"/>
      <c r="G21" s="34"/>
      <c r="H21" s="36"/>
      <c r="I21" s="36"/>
      <c r="J21" s="36"/>
      <c r="K21" s="36"/>
      <c r="L21" s="36"/>
      <c r="M21" s="36"/>
      <c r="N21" s="5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75" customHeight="1" x14ac:dyDescent="0.25">
      <c r="A22" s="6">
        <v>43507</v>
      </c>
      <c r="B22" s="11">
        <v>2000</v>
      </c>
      <c r="C22" s="11"/>
      <c r="D22" s="11"/>
      <c r="E22" s="11"/>
      <c r="F22" s="11"/>
      <c r="G22" s="11">
        <v>500</v>
      </c>
      <c r="H22" s="33">
        <f>B22+C22+D22+E22+F22+G22</f>
        <v>2500</v>
      </c>
      <c r="I22" s="33"/>
      <c r="J22" s="33">
        <v>225</v>
      </c>
      <c r="K22" s="33">
        <f>120</f>
        <v>120</v>
      </c>
      <c r="L22" s="33">
        <f>I22+J22+K22</f>
        <v>345</v>
      </c>
      <c r="M22" s="33">
        <f>H22-L22</f>
        <v>2155</v>
      </c>
      <c r="N22" s="5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75" customHeight="1" x14ac:dyDescent="0.25">
      <c r="A23" s="8" t="s">
        <v>24</v>
      </c>
      <c r="B23" s="12"/>
      <c r="C23" s="12"/>
      <c r="D23" s="12"/>
      <c r="E23" s="12"/>
      <c r="F23" s="12"/>
      <c r="G23" s="12"/>
      <c r="H23" s="23"/>
      <c r="I23" s="23"/>
      <c r="J23" s="23"/>
      <c r="K23" s="23"/>
      <c r="L23" s="23"/>
      <c r="M23" s="23"/>
      <c r="N23" s="5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75" customHeight="1" x14ac:dyDescent="0.25">
      <c r="A24" s="5" t="s">
        <v>81</v>
      </c>
      <c r="B24" s="12"/>
      <c r="C24" s="12"/>
      <c r="D24" s="12"/>
      <c r="E24" s="12"/>
      <c r="F24" s="12"/>
      <c r="G24" s="12"/>
      <c r="H24" s="23"/>
      <c r="I24" s="23"/>
      <c r="J24" s="23"/>
      <c r="K24" s="23"/>
      <c r="L24" s="23"/>
      <c r="M24" s="23"/>
      <c r="N24" s="5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75" customHeight="1" x14ac:dyDescent="0.25">
      <c r="A25" s="6">
        <v>43606</v>
      </c>
      <c r="B25" s="11">
        <v>3000</v>
      </c>
      <c r="C25" s="11"/>
      <c r="D25" s="11"/>
      <c r="E25" s="11"/>
      <c r="F25" s="11"/>
      <c r="G25" s="11"/>
      <c r="H25" s="33">
        <f>B25+C25+D25+E25+F25+G25</f>
        <v>3000</v>
      </c>
      <c r="I25" s="33">
        <v>29.01</v>
      </c>
      <c r="J25" s="33">
        <v>330</v>
      </c>
      <c r="K25" s="33"/>
      <c r="L25" s="33">
        <f>I25+J25+K25</f>
        <v>359.01</v>
      </c>
      <c r="M25" s="33">
        <f>H25-L25</f>
        <v>2640.99</v>
      </c>
      <c r="N25" s="5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75" customHeight="1" x14ac:dyDescent="0.25">
      <c r="A26" s="3" t="s">
        <v>25</v>
      </c>
      <c r="B26" s="12"/>
      <c r="C26" s="34"/>
      <c r="D26" s="34"/>
      <c r="E26" s="34"/>
      <c r="F26" s="35"/>
      <c r="G26" s="34"/>
      <c r="H26" s="36"/>
      <c r="I26" s="36"/>
      <c r="J26" s="36"/>
      <c r="K26" s="36"/>
      <c r="L26" s="36"/>
      <c r="M26" s="36"/>
      <c r="N26" s="5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75" customHeight="1" x14ac:dyDescent="0.25">
      <c r="A27" s="5" t="s">
        <v>71</v>
      </c>
      <c r="B27" s="12"/>
      <c r="C27" s="34"/>
      <c r="D27" s="34"/>
      <c r="E27" s="34"/>
      <c r="F27" s="35"/>
      <c r="G27" s="34"/>
      <c r="H27" s="36"/>
      <c r="I27" s="36"/>
      <c r="J27" s="36"/>
      <c r="K27" s="36"/>
      <c r="L27" s="36"/>
      <c r="M27" s="36"/>
      <c r="N27" s="5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75" customHeight="1" x14ac:dyDescent="0.25">
      <c r="A28" s="6">
        <v>43507</v>
      </c>
      <c r="B28" s="11">
        <v>6000</v>
      </c>
      <c r="C28" s="11"/>
      <c r="D28" s="11"/>
      <c r="E28" s="11"/>
      <c r="F28" s="11"/>
      <c r="G28" s="11"/>
      <c r="H28" s="33">
        <f>B28+C28+D28+E28+F28+G28</f>
        <v>6000</v>
      </c>
      <c r="I28" s="33">
        <v>604</v>
      </c>
      <c r="J28" s="33">
        <v>642.33000000000004</v>
      </c>
      <c r="K28" s="33"/>
      <c r="L28" s="33">
        <f>I28+J28+K28</f>
        <v>1246.33</v>
      </c>
      <c r="M28" s="33">
        <f>H28-L28</f>
        <v>4753.67</v>
      </c>
      <c r="N28" s="5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75" customHeight="1" x14ac:dyDescent="0.25">
      <c r="A29" s="3" t="s">
        <v>27</v>
      </c>
      <c r="B29" s="12"/>
      <c r="C29" s="34"/>
      <c r="D29" s="34"/>
      <c r="E29" s="34"/>
      <c r="F29" s="35"/>
      <c r="G29" s="34"/>
      <c r="H29" s="36"/>
      <c r="I29" s="36"/>
      <c r="J29" s="36"/>
      <c r="K29" s="36"/>
      <c r="L29" s="36"/>
      <c r="M29" s="36"/>
      <c r="N29" s="5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75" customHeight="1" x14ac:dyDescent="0.25">
      <c r="A30" s="5" t="s">
        <v>28</v>
      </c>
      <c r="B30" s="12"/>
      <c r="C30" s="34"/>
      <c r="D30" s="34"/>
      <c r="E30" s="34"/>
      <c r="F30" s="35"/>
      <c r="G30" s="34"/>
      <c r="H30" s="36"/>
      <c r="I30" s="36"/>
      <c r="J30" s="36"/>
      <c r="K30" s="36"/>
      <c r="L30" s="36"/>
      <c r="M30" s="36"/>
      <c r="N30" s="5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75" customHeight="1" x14ac:dyDescent="0.25">
      <c r="A31" s="6">
        <v>43507</v>
      </c>
      <c r="B31" s="11">
        <v>6000</v>
      </c>
      <c r="C31" s="11"/>
      <c r="D31" s="11"/>
      <c r="E31" s="11"/>
      <c r="F31" s="11"/>
      <c r="G31" s="11"/>
      <c r="H31" s="33">
        <f>B31+C31+D31+E31+F31+G31</f>
        <v>6000</v>
      </c>
      <c r="I31" s="33">
        <v>499.72</v>
      </c>
      <c r="J31" s="33">
        <v>642.33000000000004</v>
      </c>
      <c r="K31" s="33"/>
      <c r="L31" s="33">
        <f>I31+J31+K31</f>
        <v>1142.0500000000002</v>
      </c>
      <c r="M31" s="33">
        <f>H31-L31</f>
        <v>4857.95</v>
      </c>
      <c r="N31" s="5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75" customHeight="1" x14ac:dyDescent="0.25">
      <c r="A32" s="8" t="s">
        <v>88</v>
      </c>
      <c r="B32" s="12"/>
      <c r="C32" s="12"/>
      <c r="D32" s="12"/>
      <c r="E32" s="12"/>
      <c r="F32" s="12"/>
      <c r="G32" s="12"/>
      <c r="H32" s="23"/>
      <c r="I32" s="23"/>
      <c r="J32" s="23"/>
      <c r="K32" s="23"/>
      <c r="L32" s="23"/>
      <c r="M32" s="23"/>
      <c r="N32" s="5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75" customHeight="1" x14ac:dyDescent="0.25">
      <c r="A33" s="10" t="s">
        <v>69</v>
      </c>
      <c r="B33" s="12"/>
      <c r="C33" s="12"/>
      <c r="D33" s="12"/>
      <c r="E33" s="12"/>
      <c r="F33" s="12"/>
      <c r="G33" s="12"/>
      <c r="H33" s="23"/>
      <c r="I33" s="23"/>
      <c r="J33" s="23"/>
      <c r="K33" s="23"/>
      <c r="L33" s="23"/>
      <c r="M33" s="23"/>
      <c r="N33" s="5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75" customHeight="1" x14ac:dyDescent="0.25">
      <c r="A34" s="6">
        <v>43788</v>
      </c>
      <c r="B34" s="11">
        <v>800</v>
      </c>
      <c r="C34" s="11"/>
      <c r="D34" s="11"/>
      <c r="E34" s="11"/>
      <c r="F34" s="11"/>
      <c r="G34" s="11"/>
      <c r="H34" s="33">
        <f>B34+C34+D34+E34+F34+G34</f>
        <v>800</v>
      </c>
      <c r="I34" s="33"/>
      <c r="J34" s="33">
        <v>64</v>
      </c>
      <c r="K34" s="33">
        <f>120+48</f>
        <v>168</v>
      </c>
      <c r="L34" s="33">
        <f>I34+J34+K34</f>
        <v>232</v>
      </c>
      <c r="M34" s="33">
        <f>H34-L34</f>
        <v>568</v>
      </c>
      <c r="N34" s="5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75" customHeight="1" x14ac:dyDescent="0.25">
      <c r="A35" s="3" t="s">
        <v>61</v>
      </c>
      <c r="B35" s="12"/>
      <c r="C35" s="34"/>
      <c r="D35" s="34"/>
      <c r="E35" s="34"/>
      <c r="F35" s="35"/>
      <c r="G35" s="34"/>
      <c r="H35" s="36"/>
      <c r="I35" s="36"/>
      <c r="J35" s="36"/>
      <c r="K35" s="36"/>
      <c r="L35" s="36"/>
      <c r="M35" s="36"/>
      <c r="N35" s="5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75" customHeight="1" x14ac:dyDescent="0.25">
      <c r="A36" s="47" t="s">
        <v>26</v>
      </c>
      <c r="B36" s="12"/>
      <c r="C36" s="34"/>
      <c r="D36" s="34"/>
      <c r="E36" s="34"/>
      <c r="F36" s="35"/>
      <c r="G36" s="34"/>
      <c r="H36" s="36"/>
      <c r="I36" s="36"/>
      <c r="J36" s="36"/>
      <c r="K36" s="36"/>
      <c r="L36" s="36"/>
      <c r="M36" s="36"/>
      <c r="N36" s="5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75" customHeight="1" x14ac:dyDescent="0.25">
      <c r="A37" s="6">
        <v>43678</v>
      </c>
      <c r="B37" s="11">
        <v>6000</v>
      </c>
      <c r="C37" s="11"/>
      <c r="D37" s="11"/>
      <c r="E37" s="11"/>
      <c r="F37" s="11"/>
      <c r="G37" s="11"/>
      <c r="H37" s="33">
        <f>B37+C37+D37+E37+F37+G37</f>
        <v>6000</v>
      </c>
      <c r="I37" s="33">
        <v>499.72</v>
      </c>
      <c r="J37" s="33">
        <v>642.33000000000004</v>
      </c>
      <c r="K37" s="33">
        <v>190</v>
      </c>
      <c r="L37" s="33">
        <f>I37+J37+K37</f>
        <v>1332.0500000000002</v>
      </c>
      <c r="M37" s="33">
        <f>H37-L37</f>
        <v>4667.95</v>
      </c>
      <c r="N37" s="5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75" customHeight="1" x14ac:dyDescent="0.25">
      <c r="A38" s="3" t="s">
        <v>62</v>
      </c>
      <c r="B38" s="12"/>
      <c r="C38" s="34"/>
      <c r="D38" s="34"/>
      <c r="E38" s="34"/>
      <c r="F38" s="35"/>
      <c r="G38" s="34"/>
      <c r="H38" s="36"/>
      <c r="I38" s="36"/>
      <c r="J38" s="36"/>
      <c r="K38" s="36"/>
      <c r="L38" s="36"/>
      <c r="M38" s="36"/>
      <c r="N38" s="5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 customHeight="1" x14ac:dyDescent="0.25">
      <c r="A39" s="5" t="s">
        <v>82</v>
      </c>
      <c r="B39" s="12"/>
      <c r="C39" s="34"/>
      <c r="D39" s="34"/>
      <c r="E39" s="34"/>
      <c r="F39" s="35"/>
      <c r="G39" s="34"/>
      <c r="H39" s="36"/>
      <c r="I39" s="36"/>
      <c r="J39" s="36"/>
      <c r="K39" s="36"/>
      <c r="L39" s="36"/>
      <c r="M39" s="36"/>
      <c r="N39" s="5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 customHeight="1" x14ac:dyDescent="0.25">
      <c r="A40" s="6">
        <v>43703</v>
      </c>
      <c r="B40" s="11">
        <v>2200</v>
      </c>
      <c r="C40" s="11"/>
      <c r="D40" s="11"/>
      <c r="E40" s="11"/>
      <c r="F40" s="11"/>
      <c r="G40" s="11"/>
      <c r="H40" s="33">
        <f>B40+C40+D40+E40+F40+G40</f>
        <v>2200</v>
      </c>
      <c r="I40" s="33"/>
      <c r="J40" s="33">
        <v>198</v>
      </c>
      <c r="K40" s="33">
        <v>132</v>
      </c>
      <c r="L40" s="33">
        <f>I40+J40+K40</f>
        <v>330</v>
      </c>
      <c r="M40" s="33">
        <f>H40-L40</f>
        <v>1870</v>
      </c>
      <c r="N40" s="5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customHeight="1" x14ac:dyDescent="0.25">
      <c r="A41" s="238" t="s">
        <v>0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5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customHeight="1" x14ac:dyDescent="0.25">
      <c r="A42" s="90" t="s">
        <v>87</v>
      </c>
      <c r="B42" s="89">
        <v>2019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5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75" customHeight="1" x14ac:dyDescent="0.25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5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customHeight="1" x14ac:dyDescent="0.25">
      <c r="A44" s="91" t="s">
        <v>2</v>
      </c>
      <c r="B44" s="231" t="s">
        <v>3</v>
      </c>
      <c r="C44" s="231" t="s">
        <v>4</v>
      </c>
      <c r="D44" s="228" t="s">
        <v>5</v>
      </c>
      <c r="E44" s="228" t="s">
        <v>6</v>
      </c>
      <c r="F44" s="228" t="s">
        <v>7</v>
      </c>
      <c r="G44" s="231" t="s">
        <v>8</v>
      </c>
      <c r="H44" s="228" t="s">
        <v>9</v>
      </c>
      <c r="I44" s="231" t="s">
        <v>10</v>
      </c>
      <c r="J44" s="231" t="s">
        <v>11</v>
      </c>
      <c r="K44" s="228" t="s">
        <v>12</v>
      </c>
      <c r="L44" s="228" t="s">
        <v>13</v>
      </c>
      <c r="M44" s="228" t="s">
        <v>14</v>
      </c>
      <c r="N44" s="5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customHeight="1" x14ac:dyDescent="0.25">
      <c r="A45" s="90" t="s">
        <v>15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5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 customHeight="1" x14ac:dyDescent="0.25">
      <c r="A46" s="92" t="s">
        <v>16</v>
      </c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5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customHeight="1" x14ac:dyDescent="0.25">
      <c r="A47" s="2" t="s">
        <v>17</v>
      </c>
      <c r="B47" s="235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5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customHeight="1" x14ac:dyDescent="0.25">
      <c r="A48" s="3" t="s">
        <v>29</v>
      </c>
      <c r="B48" s="12"/>
      <c r="C48" s="34"/>
      <c r="D48" s="34"/>
      <c r="E48" s="34"/>
      <c r="F48" s="35"/>
      <c r="G48" s="34"/>
      <c r="H48" s="36"/>
      <c r="I48" s="36"/>
      <c r="J48" s="36"/>
      <c r="K48" s="36"/>
      <c r="L48" s="36"/>
      <c r="M48" s="36"/>
      <c r="N48" s="5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customHeight="1" x14ac:dyDescent="0.25">
      <c r="A49" s="5" t="s">
        <v>30</v>
      </c>
      <c r="B49" s="12"/>
      <c r="C49" s="34"/>
      <c r="D49" s="34"/>
      <c r="E49" s="34"/>
      <c r="F49" s="35"/>
      <c r="G49" s="34"/>
      <c r="H49" s="36"/>
      <c r="I49" s="36"/>
      <c r="J49" s="36"/>
      <c r="K49" s="36"/>
      <c r="L49" s="36"/>
      <c r="M49" s="36"/>
      <c r="N49" s="5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customHeight="1" x14ac:dyDescent="0.25">
      <c r="A50" s="6">
        <v>43507</v>
      </c>
      <c r="B50" s="11">
        <v>6000</v>
      </c>
      <c r="C50" s="11"/>
      <c r="D50" s="11"/>
      <c r="E50" s="11"/>
      <c r="F50" s="11"/>
      <c r="G50" s="11"/>
      <c r="H50" s="33">
        <f>B50+C50+D50+E50+F50+G50</f>
        <v>6000</v>
      </c>
      <c r="I50" s="33">
        <v>700.79</v>
      </c>
      <c r="J50" s="33">
        <v>290.38</v>
      </c>
      <c r="K50" s="33"/>
      <c r="L50" s="33">
        <f>I50+J50+K50</f>
        <v>991.17</v>
      </c>
      <c r="M50" s="33">
        <f>H50-L50</f>
        <v>5008.83</v>
      </c>
      <c r="N50" s="5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customHeight="1" x14ac:dyDescent="0.25">
      <c r="A51" s="3" t="s">
        <v>31</v>
      </c>
      <c r="B51" s="12"/>
      <c r="C51" s="34"/>
      <c r="D51" s="34"/>
      <c r="E51" s="34"/>
      <c r="F51" s="35"/>
      <c r="G51" s="34"/>
      <c r="H51" s="36"/>
      <c r="I51" s="36"/>
      <c r="J51" s="36"/>
      <c r="K51" s="36"/>
      <c r="L51" s="36"/>
      <c r="M51" s="36"/>
      <c r="N51" s="5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customHeight="1" x14ac:dyDescent="0.25">
      <c r="A52" s="5" t="s">
        <v>32</v>
      </c>
      <c r="B52" s="12"/>
      <c r="C52" s="34"/>
      <c r="D52" s="34"/>
      <c r="E52" s="34"/>
      <c r="F52" s="35"/>
      <c r="G52" s="34"/>
      <c r="H52" s="36"/>
      <c r="I52" s="36"/>
      <c r="J52" s="36"/>
      <c r="K52" s="36"/>
      <c r="L52" s="36"/>
      <c r="M52" s="36"/>
      <c r="N52" s="5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3.5" customHeight="1" x14ac:dyDescent="0.25">
      <c r="A53" s="97">
        <v>43507</v>
      </c>
      <c r="B53" s="98">
        <v>7000</v>
      </c>
      <c r="C53" s="98"/>
      <c r="D53" s="98"/>
      <c r="E53" s="98"/>
      <c r="F53" s="98"/>
      <c r="G53" s="98"/>
      <c r="H53" s="33">
        <f>B53+C53+D53+E53+F53+G53</f>
        <v>7000</v>
      </c>
      <c r="I53" s="33">
        <v>774.72</v>
      </c>
      <c r="J53" s="33">
        <v>642.33000000000004</v>
      </c>
      <c r="K53" s="33"/>
      <c r="L53" s="33">
        <f>I53+J53+K53</f>
        <v>1417.0500000000002</v>
      </c>
      <c r="M53" s="33">
        <f>H53-L53</f>
        <v>5582.95</v>
      </c>
      <c r="N53" s="5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customHeight="1" x14ac:dyDescent="0.25">
      <c r="A54" s="3" t="s">
        <v>83</v>
      </c>
      <c r="B54" s="12"/>
      <c r="C54" s="34"/>
      <c r="D54" s="34"/>
      <c r="E54" s="34"/>
      <c r="F54" s="35"/>
      <c r="G54" s="34"/>
      <c r="H54" s="36"/>
      <c r="I54" s="36"/>
      <c r="J54" s="36"/>
      <c r="K54" s="36"/>
      <c r="L54" s="36"/>
      <c r="M54" s="36"/>
      <c r="N54" s="5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customHeight="1" x14ac:dyDescent="0.25">
      <c r="A55" s="5" t="s">
        <v>84</v>
      </c>
      <c r="B55" s="12"/>
      <c r="C55" s="34"/>
      <c r="D55" s="34"/>
      <c r="E55" s="34"/>
      <c r="F55" s="35"/>
      <c r="G55" s="34"/>
      <c r="H55" s="36"/>
      <c r="I55" s="36"/>
      <c r="J55" s="36"/>
      <c r="K55" s="36"/>
      <c r="L55" s="36"/>
      <c r="M55" s="36"/>
      <c r="N55" s="5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3.5" customHeight="1" x14ac:dyDescent="0.25">
      <c r="A56" s="97">
        <v>43745</v>
      </c>
      <c r="B56" s="98">
        <v>2000</v>
      </c>
      <c r="C56" s="98"/>
      <c r="D56" s="98"/>
      <c r="E56" s="98"/>
      <c r="F56" s="98"/>
      <c r="G56" s="98"/>
      <c r="H56" s="33">
        <f>B56+C56+D56+E56+F56+G56</f>
        <v>2000</v>
      </c>
      <c r="I56" s="33"/>
      <c r="J56" s="33">
        <v>180</v>
      </c>
      <c r="K56" s="33">
        <v>120</v>
      </c>
      <c r="L56" s="33">
        <f>I56+J56+K56</f>
        <v>300</v>
      </c>
      <c r="M56" s="33">
        <f>H56-L56</f>
        <v>1700</v>
      </c>
      <c r="N56" s="5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customHeight="1" x14ac:dyDescent="0.25">
      <c r="A57" s="15" t="s">
        <v>33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5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customHeight="1" x14ac:dyDescent="0.25">
      <c r="A58" s="47" t="s">
        <v>73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5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customHeight="1" x14ac:dyDescent="0.25">
      <c r="A59" s="5" t="s">
        <v>69</v>
      </c>
      <c r="B59" s="12"/>
      <c r="C59" s="12"/>
      <c r="D59" s="12"/>
      <c r="E59" s="12"/>
      <c r="F59" s="12"/>
      <c r="G59" s="12"/>
      <c r="H59" s="23"/>
      <c r="I59" s="23"/>
      <c r="J59" s="23"/>
      <c r="K59" s="23"/>
      <c r="L59" s="23"/>
      <c r="M59" s="23"/>
      <c r="N59" s="5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customHeight="1" x14ac:dyDescent="0.25">
      <c r="A60" s="6">
        <v>43712</v>
      </c>
      <c r="B60" s="11">
        <v>2000</v>
      </c>
      <c r="C60" s="11"/>
      <c r="D60" s="11"/>
      <c r="E60" s="11"/>
      <c r="F60" s="11"/>
      <c r="G60" s="11"/>
      <c r="H60" s="33">
        <f>SUM(B60:G60)</f>
        <v>2000</v>
      </c>
      <c r="I60" s="33"/>
      <c r="J60" s="33">
        <v>180</v>
      </c>
      <c r="K60" s="33">
        <v>120</v>
      </c>
      <c r="L60" s="33">
        <f>SUM(I60:K60)</f>
        <v>300</v>
      </c>
      <c r="M60" s="33">
        <f>H60-L60</f>
        <v>1700</v>
      </c>
      <c r="N60" s="5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customHeight="1" x14ac:dyDescent="0.25">
      <c r="A61" s="17" t="s">
        <v>34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5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customHeight="1" x14ac:dyDescent="0.25">
      <c r="A62" s="5" t="s">
        <v>35</v>
      </c>
      <c r="B62" s="12"/>
      <c r="C62" s="12"/>
      <c r="D62" s="12"/>
      <c r="E62" s="12"/>
      <c r="F62" s="12"/>
      <c r="G62" s="12"/>
      <c r="H62" s="23"/>
      <c r="I62" s="23"/>
      <c r="J62" s="23"/>
      <c r="K62" s="23"/>
      <c r="L62" s="23"/>
      <c r="M62" s="23"/>
      <c r="N62" s="5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customHeight="1" x14ac:dyDescent="0.25">
      <c r="A63" s="6">
        <v>43525</v>
      </c>
      <c r="B63" s="11">
        <v>6000</v>
      </c>
      <c r="C63" s="11"/>
      <c r="D63" s="11"/>
      <c r="E63" s="11"/>
      <c r="F63" s="11"/>
      <c r="G63" s="11"/>
      <c r="H63" s="33">
        <f>SUM(B63:G63)</f>
        <v>6000</v>
      </c>
      <c r="I63" s="33">
        <v>551.86</v>
      </c>
      <c r="J63" s="33">
        <v>642.33000000000004</v>
      </c>
      <c r="K63" s="33"/>
      <c r="L63" s="33">
        <f>SUM(I63:K63)</f>
        <v>1194.19</v>
      </c>
      <c r="M63" s="33">
        <f>H63-L63</f>
        <v>4805.8099999999995</v>
      </c>
      <c r="N63" s="5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customHeight="1" x14ac:dyDescent="0.25">
      <c r="A64" s="3" t="s">
        <v>36</v>
      </c>
      <c r="B64" s="12"/>
      <c r="C64" s="34"/>
      <c r="D64" s="34"/>
      <c r="E64" s="34"/>
      <c r="F64" s="35"/>
      <c r="G64" s="34"/>
      <c r="H64" s="36"/>
      <c r="I64" s="36"/>
      <c r="J64" s="36"/>
      <c r="K64" s="36"/>
      <c r="L64" s="36"/>
      <c r="M64" s="36"/>
      <c r="N64" s="5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customHeight="1" x14ac:dyDescent="0.25">
      <c r="A65" s="5" t="s">
        <v>69</v>
      </c>
      <c r="B65" s="12"/>
      <c r="C65" s="34"/>
      <c r="D65" s="34"/>
      <c r="E65" s="34"/>
      <c r="F65" s="35"/>
      <c r="G65" s="34"/>
      <c r="H65" s="36"/>
      <c r="I65" s="36"/>
      <c r="J65" s="36"/>
      <c r="K65" s="36"/>
      <c r="L65" s="36"/>
      <c r="M65" s="36"/>
      <c r="N65" s="5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customHeight="1" x14ac:dyDescent="0.25">
      <c r="A66" s="6">
        <v>43507</v>
      </c>
      <c r="B66" s="33">
        <v>2000</v>
      </c>
      <c r="C66" s="11"/>
      <c r="D66" s="11"/>
      <c r="E66" s="11"/>
      <c r="F66" s="11"/>
      <c r="G66" s="11">
        <v>500</v>
      </c>
      <c r="H66" s="33">
        <f>B66+C66+D66+E66+F66+G66</f>
        <v>2500</v>
      </c>
      <c r="I66" s="33">
        <v>27.83</v>
      </c>
      <c r="J66" s="33">
        <v>225</v>
      </c>
      <c r="K66" s="33">
        <f>120</f>
        <v>120</v>
      </c>
      <c r="L66" s="33">
        <f>I66+J66+K66</f>
        <v>372.83</v>
      </c>
      <c r="M66" s="33">
        <f>H66-L66</f>
        <v>2127.17</v>
      </c>
      <c r="N66" s="5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customHeight="1" x14ac:dyDescent="0.25">
      <c r="A67" s="3" t="s">
        <v>37</v>
      </c>
      <c r="B67" s="23"/>
      <c r="C67" s="34"/>
      <c r="D67" s="34"/>
      <c r="E67" s="34"/>
      <c r="F67" s="35"/>
      <c r="G67" s="34"/>
      <c r="H67" s="36"/>
      <c r="I67" s="36"/>
      <c r="J67" s="36"/>
      <c r="K67" s="36"/>
      <c r="L67" s="36"/>
      <c r="M67" s="36"/>
      <c r="N67" s="5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customHeight="1" x14ac:dyDescent="0.25">
      <c r="A68" s="5" t="s">
        <v>38</v>
      </c>
      <c r="B68" s="23"/>
      <c r="C68" s="34"/>
      <c r="D68" s="34"/>
      <c r="E68" s="34"/>
      <c r="F68" s="35"/>
      <c r="G68" s="34"/>
      <c r="H68" s="36"/>
      <c r="I68" s="36"/>
      <c r="J68" s="36"/>
      <c r="K68" s="36"/>
      <c r="L68" s="36"/>
      <c r="M68" s="36"/>
      <c r="N68" s="5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customHeight="1" x14ac:dyDescent="0.25">
      <c r="A69" s="6">
        <v>43507</v>
      </c>
      <c r="B69" s="33">
        <v>1400</v>
      </c>
      <c r="C69" s="11"/>
      <c r="D69" s="11"/>
      <c r="E69" s="11"/>
      <c r="F69" s="11"/>
      <c r="G69" s="11"/>
      <c r="H69" s="33">
        <f>B69+C69+D69+E69+F69+G69</f>
        <v>1400</v>
      </c>
      <c r="I69" s="33"/>
      <c r="J69" s="33">
        <v>112</v>
      </c>
      <c r="K69" s="33">
        <f>84</f>
        <v>84</v>
      </c>
      <c r="L69" s="33">
        <f>I69+J69+K69</f>
        <v>196</v>
      </c>
      <c r="M69" s="33">
        <f>H69-L69</f>
        <v>1204</v>
      </c>
      <c r="N69" s="5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customHeight="1" x14ac:dyDescent="0.25">
      <c r="A70" s="3" t="s">
        <v>39</v>
      </c>
      <c r="B70" s="23"/>
      <c r="C70" s="34"/>
      <c r="D70" s="34"/>
      <c r="E70" s="34"/>
      <c r="F70" s="35"/>
      <c r="G70" s="34"/>
      <c r="H70" s="36"/>
      <c r="I70" s="36"/>
      <c r="J70" s="36"/>
      <c r="K70" s="36"/>
      <c r="L70" s="36"/>
      <c r="M70" s="36"/>
      <c r="N70" s="5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customHeight="1" x14ac:dyDescent="0.25">
      <c r="A71" s="47" t="s">
        <v>74</v>
      </c>
      <c r="B71" s="23"/>
      <c r="C71" s="34"/>
      <c r="D71" s="34"/>
      <c r="E71" s="34"/>
      <c r="F71" s="35"/>
      <c r="G71" s="34"/>
      <c r="H71" s="36"/>
      <c r="I71" s="36"/>
      <c r="J71" s="36"/>
      <c r="K71" s="36"/>
      <c r="L71" s="36"/>
      <c r="M71" s="36"/>
      <c r="N71" s="52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75" customHeight="1" x14ac:dyDescent="0.25">
      <c r="A72" s="6">
        <v>43507</v>
      </c>
      <c r="B72" s="33">
        <v>4200</v>
      </c>
      <c r="C72" s="11"/>
      <c r="D72" s="11"/>
      <c r="E72" s="11"/>
      <c r="F72" s="11"/>
      <c r="G72" s="11"/>
      <c r="H72" s="33">
        <f>B72+C72+D72+E72+F72+G72</f>
        <v>4200</v>
      </c>
      <c r="I72" s="33">
        <v>149.02000000000001</v>
      </c>
      <c r="J72" s="33">
        <v>462</v>
      </c>
      <c r="K72" s="33"/>
      <c r="L72" s="33">
        <f>I72+J72+K72</f>
        <v>611.02</v>
      </c>
      <c r="M72" s="33">
        <f>H72-L72</f>
        <v>3588.98</v>
      </c>
      <c r="N72" s="5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75" customHeight="1" x14ac:dyDescent="0.25">
      <c r="A73" s="8" t="s">
        <v>41</v>
      </c>
      <c r="B73" s="23"/>
      <c r="C73" s="12"/>
      <c r="D73" s="12"/>
      <c r="E73" s="12"/>
      <c r="F73" s="12"/>
      <c r="G73" s="12"/>
      <c r="H73" s="23"/>
      <c r="I73" s="23"/>
      <c r="J73" s="23"/>
      <c r="K73" s="23"/>
      <c r="L73" s="23"/>
      <c r="M73" s="23"/>
      <c r="N73" s="52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75" customHeight="1" x14ac:dyDescent="0.25">
      <c r="A74" s="10" t="s">
        <v>38</v>
      </c>
      <c r="B74" s="23"/>
      <c r="C74" s="12"/>
      <c r="D74" s="12"/>
      <c r="E74" s="12"/>
      <c r="F74" s="12"/>
      <c r="G74" s="12"/>
      <c r="H74" s="23"/>
      <c r="I74" s="23"/>
      <c r="J74" s="23"/>
      <c r="K74" s="23"/>
      <c r="L74" s="23"/>
      <c r="M74" s="23"/>
      <c r="N74" s="52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75" customHeight="1" x14ac:dyDescent="0.25">
      <c r="A75" s="10">
        <v>43557</v>
      </c>
      <c r="B75" s="23">
        <v>1400</v>
      </c>
      <c r="C75" s="12"/>
      <c r="D75" s="12"/>
      <c r="E75" s="12"/>
      <c r="F75" s="12"/>
      <c r="G75" s="12"/>
      <c r="H75" s="23">
        <f>SUM(B75:G75)</f>
        <v>1400</v>
      </c>
      <c r="I75" s="23"/>
      <c r="J75" s="23">
        <v>112</v>
      </c>
      <c r="K75" s="23">
        <v>84</v>
      </c>
      <c r="L75" s="23">
        <f>I75+J75+K75</f>
        <v>196</v>
      </c>
      <c r="M75" s="23">
        <f>H75-L75</f>
        <v>1204</v>
      </c>
      <c r="N75" s="52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75" customHeight="1" x14ac:dyDescent="0.25">
      <c r="A76" s="25" t="s">
        <v>42</v>
      </c>
      <c r="B76" s="37"/>
      <c r="C76" s="26"/>
      <c r="D76" s="26"/>
      <c r="E76" s="26"/>
      <c r="F76" s="26"/>
      <c r="G76" s="26"/>
      <c r="H76" s="37"/>
      <c r="I76" s="37"/>
      <c r="J76" s="37"/>
      <c r="K76" s="37"/>
      <c r="L76" s="37"/>
      <c r="M76" s="37"/>
      <c r="N76" s="52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75" customHeight="1" x14ac:dyDescent="0.25">
      <c r="A77" s="3" t="s">
        <v>63</v>
      </c>
      <c r="B77" s="23"/>
      <c r="C77" s="34"/>
      <c r="D77" s="34"/>
      <c r="E77" s="34"/>
      <c r="F77" s="35"/>
      <c r="G77" s="34"/>
      <c r="H77" s="36"/>
      <c r="I77" s="36"/>
      <c r="J77" s="36"/>
      <c r="K77" s="36"/>
      <c r="L77" s="36"/>
      <c r="M77" s="36"/>
      <c r="N77" s="52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75" customHeight="1" x14ac:dyDescent="0.25">
      <c r="A78" s="5" t="s">
        <v>69</v>
      </c>
      <c r="B78" s="23"/>
      <c r="C78" s="34"/>
      <c r="D78" s="34"/>
      <c r="E78" s="34"/>
      <c r="F78" s="35"/>
      <c r="G78" s="34"/>
      <c r="H78" s="36"/>
      <c r="I78" s="36"/>
      <c r="J78" s="36"/>
      <c r="K78" s="36"/>
      <c r="L78" s="36"/>
      <c r="M78" s="36"/>
      <c r="N78" s="52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75" customHeight="1" x14ac:dyDescent="0.25">
      <c r="A79" s="6">
        <v>43697</v>
      </c>
      <c r="B79" s="33">
        <v>2000</v>
      </c>
      <c r="C79" s="11"/>
      <c r="D79" s="11"/>
      <c r="E79" s="11"/>
      <c r="F79" s="11"/>
      <c r="G79" s="11"/>
      <c r="H79" s="33">
        <f>SUM(B79:G79)</f>
        <v>2000</v>
      </c>
      <c r="I79" s="33"/>
      <c r="J79" s="33">
        <v>180</v>
      </c>
      <c r="K79" s="33">
        <v>0</v>
      </c>
      <c r="L79" s="33">
        <f>I79+J79+K79</f>
        <v>180</v>
      </c>
      <c r="M79" s="33">
        <f>H79-L79</f>
        <v>1820</v>
      </c>
      <c r="N79" s="52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75" customHeight="1" x14ac:dyDescent="0.25">
      <c r="A80" s="238" t="s">
        <v>0</v>
      </c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52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75" customHeight="1" x14ac:dyDescent="0.25">
      <c r="A81" s="90" t="s">
        <v>87</v>
      </c>
      <c r="B81" s="89">
        <v>2019</v>
      </c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52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75" customHeight="1" x14ac:dyDescent="0.25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52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75" customHeight="1" x14ac:dyDescent="0.25">
      <c r="A83" s="91" t="s">
        <v>2</v>
      </c>
      <c r="B83" s="231" t="s">
        <v>3</v>
      </c>
      <c r="C83" s="231" t="s">
        <v>4</v>
      </c>
      <c r="D83" s="228" t="s">
        <v>5</v>
      </c>
      <c r="E83" s="228" t="s">
        <v>6</v>
      </c>
      <c r="F83" s="228" t="s">
        <v>7</v>
      </c>
      <c r="G83" s="231" t="s">
        <v>8</v>
      </c>
      <c r="H83" s="228" t="s">
        <v>9</v>
      </c>
      <c r="I83" s="231" t="s">
        <v>10</v>
      </c>
      <c r="J83" s="231" t="s">
        <v>11</v>
      </c>
      <c r="K83" s="228" t="s">
        <v>12</v>
      </c>
      <c r="L83" s="228" t="s">
        <v>13</v>
      </c>
      <c r="M83" s="228" t="s">
        <v>14</v>
      </c>
      <c r="N83" s="52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75" customHeight="1" x14ac:dyDescent="0.25">
      <c r="A84" s="90" t="s">
        <v>15</v>
      </c>
      <c r="B84" s="229"/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52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75" customHeight="1" x14ac:dyDescent="0.25">
      <c r="A85" s="92" t="s">
        <v>16</v>
      </c>
      <c r="B85" s="237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52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75" customHeight="1" x14ac:dyDescent="0.25">
      <c r="A86" s="3" t="s">
        <v>43</v>
      </c>
      <c r="B86" s="23"/>
      <c r="C86" s="34"/>
      <c r="D86" s="34"/>
      <c r="E86" s="34"/>
      <c r="F86" s="35"/>
      <c r="G86" s="34"/>
      <c r="H86" s="36"/>
      <c r="I86" s="36"/>
      <c r="J86" s="36"/>
      <c r="K86" s="36"/>
      <c r="L86" s="36"/>
      <c r="M86" s="36"/>
      <c r="N86" s="52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75" customHeight="1" x14ac:dyDescent="0.25">
      <c r="A87" s="5" t="s">
        <v>44</v>
      </c>
      <c r="B87" s="23"/>
      <c r="C87" s="34"/>
      <c r="D87" s="34"/>
      <c r="E87" s="34"/>
      <c r="F87" s="35"/>
      <c r="G87" s="34"/>
      <c r="H87" s="36"/>
      <c r="I87" s="36"/>
      <c r="J87" s="36"/>
      <c r="K87" s="36"/>
      <c r="L87" s="36"/>
      <c r="M87" s="36"/>
      <c r="N87" s="52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75" customHeight="1" x14ac:dyDescent="0.25">
      <c r="A88" s="6">
        <v>43535</v>
      </c>
      <c r="B88" s="33">
        <v>3000</v>
      </c>
      <c r="C88" s="11"/>
      <c r="D88" s="11"/>
      <c r="E88" s="11"/>
      <c r="F88" s="11"/>
      <c r="G88" s="11"/>
      <c r="H88" s="33">
        <f>B88+C88+D88+E88+F88+G88</f>
        <v>3000</v>
      </c>
      <c r="I88" s="33">
        <v>29.01</v>
      </c>
      <c r="J88" s="33">
        <v>330</v>
      </c>
      <c r="K88" s="33"/>
      <c r="L88" s="33">
        <f>I88+J88+K88</f>
        <v>359.01</v>
      </c>
      <c r="M88" s="33">
        <f>H88-L88</f>
        <v>2640.99</v>
      </c>
      <c r="N88" s="52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75" customHeight="1" x14ac:dyDescent="0.25">
      <c r="A89" s="28" t="s">
        <v>45</v>
      </c>
      <c r="B89" s="37"/>
      <c r="C89" s="38"/>
      <c r="D89" s="38"/>
      <c r="E89" s="38"/>
      <c r="F89" s="39"/>
      <c r="G89" s="38"/>
      <c r="H89" s="40"/>
      <c r="I89" s="40"/>
      <c r="J89" s="40"/>
      <c r="K89" s="40"/>
      <c r="L89" s="40"/>
      <c r="M89" s="40"/>
      <c r="N89" s="52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75" customHeight="1" x14ac:dyDescent="0.25">
      <c r="A90" s="3" t="s">
        <v>46</v>
      </c>
      <c r="B90" s="23"/>
      <c r="C90" s="34"/>
      <c r="D90" s="34"/>
      <c r="E90" s="34"/>
      <c r="F90" s="35"/>
      <c r="G90" s="34"/>
      <c r="H90" s="36"/>
      <c r="I90" s="36"/>
      <c r="J90" s="36"/>
      <c r="K90" s="36"/>
      <c r="L90" s="36"/>
      <c r="M90" s="36"/>
      <c r="N90" s="52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75" customHeight="1" x14ac:dyDescent="0.25">
      <c r="A91" s="5" t="s">
        <v>44</v>
      </c>
      <c r="B91" s="23"/>
      <c r="C91" s="34"/>
      <c r="D91" s="34"/>
      <c r="E91" s="34"/>
      <c r="F91" s="35"/>
      <c r="G91" s="34"/>
      <c r="H91" s="36"/>
      <c r="I91" s="36"/>
      <c r="J91" s="36"/>
      <c r="K91" s="36"/>
      <c r="L91" s="36"/>
      <c r="M91" s="36"/>
      <c r="N91" s="52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75" customHeight="1" x14ac:dyDescent="0.25">
      <c r="A92" s="6">
        <v>43535</v>
      </c>
      <c r="B92" s="33">
        <v>3000</v>
      </c>
      <c r="C92" s="11"/>
      <c r="D92" s="11"/>
      <c r="E92" s="11"/>
      <c r="F92" s="11"/>
      <c r="G92" s="11"/>
      <c r="H92" s="33">
        <f>B92+C92+D92+E92+F92+G92</f>
        <v>3000</v>
      </c>
      <c r="I92" s="33">
        <v>43.23</v>
      </c>
      <c r="J92" s="33">
        <v>330</v>
      </c>
      <c r="K92" s="33"/>
      <c r="L92" s="33">
        <f>I92+J92+K92</f>
        <v>373.23</v>
      </c>
      <c r="M92" s="33">
        <f>H92-L92</f>
        <v>2626.77</v>
      </c>
      <c r="N92" s="52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75" customHeight="1" x14ac:dyDescent="0.25">
      <c r="A93" s="8" t="s">
        <v>47</v>
      </c>
      <c r="B93" s="23"/>
      <c r="C93" s="12"/>
      <c r="D93" s="12"/>
      <c r="E93" s="12"/>
      <c r="F93" s="12"/>
      <c r="G93" s="12"/>
      <c r="H93" s="23"/>
      <c r="I93" s="23"/>
      <c r="J93" s="23"/>
      <c r="K93" s="23"/>
      <c r="L93" s="23"/>
      <c r="M93" s="23"/>
      <c r="N93" s="52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75" customHeight="1" x14ac:dyDescent="0.25">
      <c r="A94" s="10" t="s">
        <v>69</v>
      </c>
      <c r="B94" s="23"/>
      <c r="C94" s="12"/>
      <c r="D94" s="12"/>
      <c r="E94" s="12"/>
      <c r="F94" s="12"/>
      <c r="G94" s="12"/>
      <c r="H94" s="23"/>
      <c r="I94" s="23"/>
      <c r="J94" s="23"/>
      <c r="K94" s="23"/>
      <c r="L94" s="23"/>
      <c r="M94" s="23"/>
      <c r="N94" s="52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75" customHeight="1" x14ac:dyDescent="0.25">
      <c r="A95" s="10">
        <v>43567</v>
      </c>
      <c r="B95" s="23">
        <v>2000</v>
      </c>
      <c r="C95" s="12"/>
      <c r="D95" s="12"/>
      <c r="E95" s="12"/>
      <c r="F95" s="12"/>
      <c r="G95" s="12"/>
      <c r="H95" s="23">
        <f>SUM(B95:G95)</f>
        <v>2000</v>
      </c>
      <c r="I95" s="23"/>
      <c r="J95" s="23">
        <v>180</v>
      </c>
      <c r="K95" s="23"/>
      <c r="L95" s="23">
        <f>SUM(I95:K95)</f>
        <v>180</v>
      </c>
      <c r="M95" s="23">
        <f>H95-L95</f>
        <v>1820</v>
      </c>
      <c r="N95" s="52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75" customHeight="1" x14ac:dyDescent="0.25">
      <c r="A96" s="28" t="s">
        <v>48</v>
      </c>
      <c r="B96" s="37"/>
      <c r="C96" s="38"/>
      <c r="D96" s="38"/>
      <c r="E96" s="38"/>
      <c r="F96" s="39"/>
      <c r="G96" s="38"/>
      <c r="H96" s="39"/>
      <c r="I96" s="39"/>
      <c r="J96" s="39"/>
      <c r="K96" s="39"/>
      <c r="L96" s="39"/>
      <c r="M96" s="39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75" customHeight="1" x14ac:dyDescent="0.25">
      <c r="A97" s="8" t="s">
        <v>49</v>
      </c>
      <c r="B97" s="23"/>
      <c r="C97" s="34"/>
      <c r="D97" s="34"/>
      <c r="E97" s="34"/>
      <c r="F97" s="35"/>
      <c r="G97" s="34"/>
      <c r="H97" s="35"/>
      <c r="I97" s="35"/>
      <c r="J97" s="35"/>
      <c r="K97" s="35"/>
      <c r="L97" s="35"/>
      <c r="M97" s="35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75" customHeight="1" x14ac:dyDescent="0.25">
      <c r="A98" s="5" t="s">
        <v>69</v>
      </c>
      <c r="B98" s="23"/>
      <c r="C98" s="34"/>
      <c r="D98" s="34"/>
      <c r="E98" s="34"/>
      <c r="F98" s="35"/>
      <c r="G98" s="34"/>
      <c r="H98" s="35"/>
      <c r="I98" s="35"/>
      <c r="J98" s="35"/>
      <c r="K98" s="35"/>
      <c r="L98" s="35"/>
      <c r="M98" s="35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75" customHeight="1" x14ac:dyDescent="0.25">
      <c r="A99" s="6">
        <v>43535</v>
      </c>
      <c r="B99" s="33">
        <v>2000</v>
      </c>
      <c r="C99" s="11"/>
      <c r="D99" s="11"/>
      <c r="E99" s="11"/>
      <c r="F99" s="11"/>
      <c r="G99" s="11"/>
      <c r="H99" s="33">
        <f>B99+C99+D99+E99+F99+G99</f>
        <v>2000</v>
      </c>
      <c r="I99" s="33"/>
      <c r="J99" s="33">
        <v>180</v>
      </c>
      <c r="K99" s="33">
        <v>0</v>
      </c>
      <c r="L99" s="33">
        <f>SUM(I99:K99)</f>
        <v>180</v>
      </c>
      <c r="M99" s="33">
        <f>H99-L99</f>
        <v>1820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75" customHeight="1" x14ac:dyDescent="0.25">
      <c r="A100" s="8" t="s">
        <v>75</v>
      </c>
      <c r="B100" s="23"/>
      <c r="C100" s="34"/>
      <c r="D100" s="34"/>
      <c r="E100" s="34"/>
      <c r="F100" s="35"/>
      <c r="G100" s="34"/>
      <c r="H100" s="35"/>
      <c r="I100" s="35"/>
      <c r="J100" s="35"/>
      <c r="K100" s="35"/>
      <c r="L100" s="35"/>
      <c r="M100" s="35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75" customHeight="1" x14ac:dyDescent="0.25">
      <c r="A101" s="5" t="s">
        <v>38</v>
      </c>
      <c r="B101" s="23"/>
      <c r="C101" s="34"/>
      <c r="D101" s="34"/>
      <c r="E101" s="34"/>
      <c r="F101" s="35"/>
      <c r="G101" s="34"/>
      <c r="H101" s="35"/>
      <c r="I101" s="35"/>
      <c r="J101" s="35"/>
      <c r="K101" s="35"/>
      <c r="L101" s="35"/>
      <c r="M101" s="35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75" customHeight="1" x14ac:dyDescent="0.25">
      <c r="A102" s="6">
        <v>43718</v>
      </c>
      <c r="B102" s="33">
        <v>1400</v>
      </c>
      <c r="C102" s="11"/>
      <c r="D102" s="11"/>
      <c r="E102" s="11"/>
      <c r="F102" s="11"/>
      <c r="G102" s="11"/>
      <c r="H102" s="33">
        <f>B102+C102+D102+E102+F102+G102</f>
        <v>1400</v>
      </c>
      <c r="I102" s="33"/>
      <c r="J102" s="33">
        <v>112</v>
      </c>
      <c r="K102" s="33">
        <v>0</v>
      </c>
      <c r="L102" s="33">
        <f>SUM(I102:K102)</f>
        <v>112</v>
      </c>
      <c r="M102" s="33">
        <f>H102-L102</f>
        <v>1288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75" customHeight="1" x14ac:dyDescent="0.25">
      <c r="A103" s="28" t="s">
        <v>50</v>
      </c>
      <c r="B103" s="37"/>
      <c r="C103" s="38"/>
      <c r="D103" s="38"/>
      <c r="E103" s="38"/>
      <c r="F103" s="39"/>
      <c r="G103" s="38"/>
      <c r="H103" s="39"/>
      <c r="I103" s="39"/>
      <c r="J103" s="39"/>
      <c r="K103" s="39"/>
      <c r="L103" s="39"/>
      <c r="M103" s="39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75" customHeight="1" x14ac:dyDescent="0.25">
      <c r="A104" s="8" t="s">
        <v>51</v>
      </c>
      <c r="B104" s="23"/>
      <c r="C104" s="34"/>
      <c r="D104" s="34"/>
      <c r="E104" s="34"/>
      <c r="F104" s="35"/>
      <c r="G104" s="34"/>
      <c r="H104" s="35"/>
      <c r="I104" s="35"/>
      <c r="J104" s="35"/>
      <c r="K104" s="35"/>
      <c r="L104" s="35"/>
      <c r="M104" s="35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75" customHeight="1" x14ac:dyDescent="0.25">
      <c r="A105" s="5" t="s">
        <v>52</v>
      </c>
      <c r="B105" s="23"/>
      <c r="C105" s="34"/>
      <c r="D105" s="34"/>
      <c r="E105" s="34"/>
      <c r="F105" s="35"/>
      <c r="G105" s="34"/>
      <c r="H105" s="35"/>
      <c r="I105" s="35"/>
      <c r="J105" s="35"/>
      <c r="K105" s="35"/>
      <c r="L105" s="35"/>
      <c r="M105" s="35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75" customHeight="1" x14ac:dyDescent="0.25">
      <c r="A106" s="97">
        <v>43556</v>
      </c>
      <c r="B106" s="99">
        <v>4000</v>
      </c>
      <c r="C106" s="98"/>
      <c r="D106" s="98"/>
      <c r="E106" s="98"/>
      <c r="F106" s="98"/>
      <c r="G106" s="98"/>
      <c r="H106" s="99">
        <f>B106+C106+D106+E106+F106+G106</f>
        <v>4000</v>
      </c>
      <c r="I106" s="99">
        <v>122.32</v>
      </c>
      <c r="J106" s="99">
        <v>440</v>
      </c>
      <c r="K106" s="99"/>
      <c r="L106" s="99">
        <f>I106+J106+K106</f>
        <v>562.31999999999994</v>
      </c>
      <c r="M106" s="99">
        <f>H106-L106</f>
        <v>3437.6800000000003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75" customHeight="1" x14ac:dyDescent="0.25">
      <c r="A107" s="8" t="s">
        <v>85</v>
      </c>
      <c r="B107" s="23"/>
      <c r="C107" s="34"/>
      <c r="D107" s="34"/>
      <c r="E107" s="34"/>
      <c r="F107" s="35"/>
      <c r="G107" s="34"/>
      <c r="H107" s="35"/>
      <c r="I107" s="35"/>
      <c r="J107" s="35"/>
      <c r="K107" s="35"/>
      <c r="L107" s="35"/>
      <c r="M107" s="35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75" customHeight="1" x14ac:dyDescent="0.25">
      <c r="A108" s="5" t="s">
        <v>69</v>
      </c>
      <c r="B108" s="23"/>
      <c r="C108" s="34"/>
      <c r="D108" s="34"/>
      <c r="E108" s="34"/>
      <c r="F108" s="35"/>
      <c r="G108" s="34"/>
      <c r="H108" s="35"/>
      <c r="I108" s="35"/>
      <c r="J108" s="35"/>
      <c r="K108" s="35"/>
      <c r="L108" s="35"/>
      <c r="M108" s="35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75" customHeight="1" x14ac:dyDescent="0.25">
      <c r="A109" s="97">
        <v>43753</v>
      </c>
      <c r="B109" s="99">
        <v>2000</v>
      </c>
      <c r="C109" s="98"/>
      <c r="D109" s="98"/>
      <c r="E109" s="98"/>
      <c r="F109" s="98"/>
      <c r="G109" s="98"/>
      <c r="H109" s="99">
        <f>B109+C109+D109+E109+F109+G109</f>
        <v>2000</v>
      </c>
      <c r="I109" s="99"/>
      <c r="J109" s="99">
        <v>180</v>
      </c>
      <c r="K109" s="99">
        <v>120</v>
      </c>
      <c r="L109" s="99">
        <f>I109+J109+K109</f>
        <v>300</v>
      </c>
      <c r="M109" s="99">
        <f>H109-L109</f>
        <v>1700</v>
      </c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75" customHeight="1" x14ac:dyDescent="0.25">
      <c r="A110" s="91" t="s">
        <v>2</v>
      </c>
      <c r="B110" s="240" t="s">
        <v>3</v>
      </c>
      <c r="C110" s="240" t="s">
        <v>4</v>
      </c>
      <c r="D110" s="239" t="s">
        <v>5</v>
      </c>
      <c r="E110" s="239" t="s">
        <v>6</v>
      </c>
      <c r="F110" s="239" t="s">
        <v>7</v>
      </c>
      <c r="G110" s="240" t="s">
        <v>8</v>
      </c>
      <c r="H110" s="239" t="s">
        <v>9</v>
      </c>
      <c r="I110" s="240" t="s">
        <v>10</v>
      </c>
      <c r="J110" s="240" t="s">
        <v>11</v>
      </c>
      <c r="K110" s="239" t="s">
        <v>12</v>
      </c>
      <c r="L110" s="239" t="s">
        <v>13</v>
      </c>
      <c r="M110" s="239" t="s">
        <v>14</v>
      </c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75" customHeight="1" x14ac:dyDescent="0.25">
      <c r="A111" s="90" t="s">
        <v>15</v>
      </c>
      <c r="B111" s="229"/>
      <c r="C111" s="229"/>
      <c r="D111" s="229"/>
      <c r="E111" s="229"/>
      <c r="F111" s="229"/>
      <c r="G111" s="229"/>
      <c r="H111" s="229"/>
      <c r="I111" s="229"/>
      <c r="J111" s="229"/>
      <c r="K111" s="229"/>
      <c r="L111" s="229"/>
      <c r="M111" s="229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75" customHeight="1" x14ac:dyDescent="0.25">
      <c r="A112" s="96" t="s">
        <v>16</v>
      </c>
      <c r="B112" s="230"/>
      <c r="C112" s="230"/>
      <c r="D112" s="230"/>
      <c r="E112" s="230"/>
      <c r="F112" s="230"/>
      <c r="G112" s="230"/>
      <c r="H112" s="230"/>
      <c r="I112" s="230"/>
      <c r="J112" s="230"/>
      <c r="K112" s="230"/>
      <c r="L112" s="230"/>
      <c r="M112" s="230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75" customHeight="1" x14ac:dyDescent="0.25">
      <c r="A113" s="41" t="s">
        <v>64</v>
      </c>
      <c r="B113" s="42"/>
      <c r="C113" s="43"/>
      <c r="D113" s="43"/>
      <c r="E113" s="43"/>
      <c r="F113" s="44"/>
      <c r="G113" s="43"/>
      <c r="H113" s="44"/>
      <c r="I113" s="44"/>
      <c r="J113" s="44"/>
      <c r="K113" s="44"/>
      <c r="L113" s="44"/>
      <c r="M113" s="44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75" customHeight="1" x14ac:dyDescent="0.25">
      <c r="A114" s="8" t="s">
        <v>65</v>
      </c>
      <c r="B114" s="23"/>
      <c r="C114" s="34"/>
      <c r="D114" s="34"/>
      <c r="E114" s="34"/>
      <c r="F114" s="35"/>
      <c r="G114" s="34"/>
      <c r="H114" s="35"/>
      <c r="I114" s="35"/>
      <c r="J114" s="35"/>
      <c r="K114" s="35"/>
      <c r="L114" s="35"/>
      <c r="M114" s="35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75" customHeight="1" x14ac:dyDescent="0.25">
      <c r="A115" s="10" t="s">
        <v>69</v>
      </c>
      <c r="B115" s="23"/>
      <c r="C115" s="34"/>
      <c r="D115" s="34"/>
      <c r="E115" s="34"/>
      <c r="F115" s="35"/>
      <c r="G115" s="34"/>
      <c r="H115" s="35"/>
      <c r="I115" s="35"/>
      <c r="J115" s="35"/>
      <c r="K115" s="35"/>
      <c r="L115" s="35"/>
      <c r="M115" s="35"/>
      <c r="N115" s="45"/>
      <c r="O115" s="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75" customHeight="1" x14ac:dyDescent="0.25">
      <c r="A116" s="6">
        <v>43697</v>
      </c>
      <c r="B116" s="33">
        <v>2000</v>
      </c>
      <c r="C116" s="11"/>
      <c r="D116" s="11"/>
      <c r="E116" s="11"/>
      <c r="F116" s="11"/>
      <c r="G116" s="11"/>
      <c r="H116" s="33">
        <f>B116+C116+D116+E116+F116+G116</f>
        <v>2000</v>
      </c>
      <c r="I116" s="33">
        <v>0</v>
      </c>
      <c r="J116" s="33">
        <v>180</v>
      </c>
      <c r="K116" s="33"/>
      <c r="L116" s="33">
        <f>I116+J116+K116</f>
        <v>180</v>
      </c>
      <c r="M116" s="33">
        <f>H116-L116</f>
        <v>1820</v>
      </c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75" customHeight="1" x14ac:dyDescent="0.25">
      <c r="A117" s="41" t="s">
        <v>76</v>
      </c>
      <c r="B117" s="42"/>
      <c r="C117" s="43"/>
      <c r="D117" s="43"/>
      <c r="E117" s="43"/>
      <c r="F117" s="44"/>
      <c r="G117" s="43"/>
      <c r="H117" s="44"/>
      <c r="I117" s="44"/>
      <c r="J117" s="44"/>
      <c r="K117" s="44"/>
      <c r="L117" s="44"/>
      <c r="M117" s="44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75" customHeight="1" x14ac:dyDescent="0.25">
      <c r="A118" s="8" t="s">
        <v>77</v>
      </c>
      <c r="B118" s="23"/>
      <c r="C118" s="34"/>
      <c r="D118" s="34"/>
      <c r="E118" s="34"/>
      <c r="F118" s="35"/>
      <c r="G118" s="34"/>
      <c r="H118" s="35"/>
      <c r="I118" s="35"/>
      <c r="J118" s="35"/>
      <c r="K118" s="35"/>
      <c r="L118" s="35"/>
      <c r="M118" s="35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75" customHeight="1" x14ac:dyDescent="0.25">
      <c r="A119" s="10" t="s">
        <v>69</v>
      </c>
      <c r="B119" s="23"/>
      <c r="C119" s="34"/>
      <c r="D119" s="34"/>
      <c r="E119" s="34"/>
      <c r="F119" s="35"/>
      <c r="G119" s="34"/>
      <c r="H119" s="35"/>
      <c r="I119" s="35"/>
      <c r="J119" s="35"/>
      <c r="K119" s="35"/>
      <c r="L119" s="35"/>
      <c r="M119" s="35"/>
      <c r="N119" s="45"/>
      <c r="O119" s="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75" customHeight="1" x14ac:dyDescent="0.25">
      <c r="A120" s="6">
        <v>43712</v>
      </c>
      <c r="B120" s="33">
        <v>2000</v>
      </c>
      <c r="C120" s="11"/>
      <c r="D120" s="11"/>
      <c r="E120" s="11"/>
      <c r="F120" s="11"/>
      <c r="G120" s="11"/>
      <c r="H120" s="33">
        <f>B120+C120+D120+E120+F120+G120</f>
        <v>2000</v>
      </c>
      <c r="I120" s="33"/>
      <c r="J120" s="33">
        <v>180</v>
      </c>
      <c r="K120" s="33"/>
      <c r="L120" s="33">
        <f>I120+J120+K120</f>
        <v>180</v>
      </c>
      <c r="M120" s="33">
        <f>H120-L120</f>
        <v>1820</v>
      </c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75" customHeight="1" x14ac:dyDescent="0.25">
      <c r="A121" s="41" t="s">
        <v>78</v>
      </c>
      <c r="B121" s="42"/>
      <c r="C121" s="43"/>
      <c r="D121" s="43"/>
      <c r="E121" s="43"/>
      <c r="F121" s="44"/>
      <c r="G121" s="43"/>
      <c r="H121" s="44"/>
      <c r="I121" s="44"/>
      <c r="J121" s="44"/>
      <c r="K121" s="44"/>
      <c r="L121" s="44"/>
      <c r="M121" s="44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75" customHeight="1" x14ac:dyDescent="0.25">
      <c r="A122" s="8" t="s">
        <v>89</v>
      </c>
      <c r="B122" s="23"/>
      <c r="C122" s="34"/>
      <c r="D122" s="34"/>
      <c r="E122" s="34"/>
      <c r="F122" s="35"/>
      <c r="G122" s="34"/>
      <c r="H122" s="35"/>
      <c r="I122" s="35"/>
      <c r="J122" s="35"/>
      <c r="K122" s="35"/>
      <c r="L122" s="35"/>
      <c r="M122" s="35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75" customHeight="1" x14ac:dyDescent="0.25">
      <c r="A123" s="10" t="s">
        <v>69</v>
      </c>
      <c r="B123" s="23"/>
      <c r="C123" s="34"/>
      <c r="D123" s="34"/>
      <c r="E123" s="34"/>
      <c r="F123" s="35"/>
      <c r="G123" s="34"/>
      <c r="H123" s="35"/>
      <c r="I123" s="35"/>
      <c r="J123" s="35"/>
      <c r="K123" s="35"/>
      <c r="L123" s="35"/>
      <c r="M123" s="35"/>
      <c r="N123" s="45"/>
      <c r="O123" s="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75" customHeight="1" x14ac:dyDescent="0.25">
      <c r="A124" s="6">
        <v>43713</v>
      </c>
      <c r="B124" s="33">
        <v>2000</v>
      </c>
      <c r="C124" s="11"/>
      <c r="D124" s="11"/>
      <c r="E124" s="11"/>
      <c r="F124" s="11"/>
      <c r="G124" s="11"/>
      <c r="H124" s="33">
        <f>B124+C124+D124+E124+F124+G124</f>
        <v>2000</v>
      </c>
      <c r="I124" s="33"/>
      <c r="J124" s="33">
        <v>180</v>
      </c>
      <c r="K124" s="33"/>
      <c r="L124" s="33">
        <f>I124+J124+K124</f>
        <v>180</v>
      </c>
      <c r="M124" s="33">
        <f>H124-L124</f>
        <v>1820</v>
      </c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75" customHeight="1" x14ac:dyDescent="0.25">
      <c r="A125" s="8" t="s">
        <v>86</v>
      </c>
      <c r="B125" s="23"/>
      <c r="C125" s="34"/>
      <c r="D125" s="34"/>
      <c r="E125" s="34"/>
      <c r="F125" s="35"/>
      <c r="G125" s="34"/>
      <c r="H125" s="35"/>
      <c r="I125" s="35"/>
      <c r="J125" s="35"/>
      <c r="K125" s="35"/>
      <c r="L125" s="35"/>
      <c r="M125" s="35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75" customHeight="1" x14ac:dyDescent="0.25">
      <c r="A126" s="10" t="s">
        <v>59</v>
      </c>
      <c r="B126" s="23"/>
      <c r="C126" s="34"/>
      <c r="D126" s="34"/>
      <c r="E126" s="34"/>
      <c r="F126" s="35"/>
      <c r="G126" s="34"/>
      <c r="H126" s="35"/>
      <c r="I126" s="35"/>
      <c r="J126" s="35"/>
      <c r="K126" s="35"/>
      <c r="L126" s="35"/>
      <c r="M126" s="35"/>
      <c r="N126" s="45"/>
      <c r="O126" s="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75" customHeight="1" x14ac:dyDescent="0.25">
      <c r="A127" s="6">
        <v>43762</v>
      </c>
      <c r="B127" s="33">
        <v>2000</v>
      </c>
      <c r="C127" s="11"/>
      <c r="D127" s="11"/>
      <c r="E127" s="11"/>
      <c r="F127" s="11"/>
      <c r="G127" s="11"/>
      <c r="H127" s="33">
        <f>B127+C127+D127+E127+F127+G127</f>
        <v>2000</v>
      </c>
      <c r="I127" s="33"/>
      <c r="J127" s="33">
        <v>180</v>
      </c>
      <c r="K127" s="33"/>
      <c r="L127" s="33">
        <f>I127+J127+K127</f>
        <v>180</v>
      </c>
      <c r="M127" s="33">
        <f>H127-L127</f>
        <v>1820</v>
      </c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48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48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5.75" customHeight="1" x14ac:dyDescent="0.2"/>
    <row r="329" spans="1:33" ht="15.75" customHeight="1" x14ac:dyDescent="0.2"/>
    <row r="330" spans="1:33" ht="15.75" customHeight="1" x14ac:dyDescent="0.2"/>
    <row r="331" spans="1:33" ht="15.75" customHeight="1" x14ac:dyDescent="0.2"/>
    <row r="332" spans="1:33" ht="15.75" customHeight="1" x14ac:dyDescent="0.2"/>
    <row r="333" spans="1:33" ht="15.75" customHeight="1" x14ac:dyDescent="0.2"/>
    <row r="334" spans="1:33" ht="15.75" customHeight="1" x14ac:dyDescent="0.2"/>
    <row r="335" spans="1:33" ht="15.75" customHeight="1" x14ac:dyDescent="0.2"/>
    <row r="336" spans="1:33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3">
    <mergeCell ref="B47:M47"/>
    <mergeCell ref="A80:M80"/>
    <mergeCell ref="B83:B85"/>
    <mergeCell ref="C83:C85"/>
    <mergeCell ref="D83:D85"/>
    <mergeCell ref="E83:E85"/>
    <mergeCell ref="H83:H85"/>
    <mergeCell ref="I83:I85"/>
    <mergeCell ref="J83:J85"/>
    <mergeCell ref="M83:M85"/>
    <mergeCell ref="K83:K85"/>
    <mergeCell ref="L83:L85"/>
    <mergeCell ref="F83:F85"/>
    <mergeCell ref="G83:G85"/>
    <mergeCell ref="B7:M7"/>
    <mergeCell ref="A41:M41"/>
    <mergeCell ref="B44:B46"/>
    <mergeCell ref="C44:C46"/>
    <mergeCell ref="D44:D46"/>
    <mergeCell ref="E44:E46"/>
    <mergeCell ref="F44:F46"/>
    <mergeCell ref="M44:M46"/>
    <mergeCell ref="G44:G46"/>
    <mergeCell ref="H44:H46"/>
    <mergeCell ref="I44:I46"/>
    <mergeCell ref="J44:J46"/>
    <mergeCell ref="K44:K46"/>
    <mergeCell ref="L44:L46"/>
    <mergeCell ref="E110:E112"/>
    <mergeCell ref="F110:F112"/>
    <mergeCell ref="L110:L112"/>
    <mergeCell ref="M110:M112"/>
    <mergeCell ref="H110:H112"/>
    <mergeCell ref="I110:I112"/>
    <mergeCell ref="J110:J112"/>
    <mergeCell ref="K110:K112"/>
    <mergeCell ref="G110:G112"/>
    <mergeCell ref="B110:B112"/>
    <mergeCell ref="C110:C112"/>
    <mergeCell ref="M4:M6"/>
    <mergeCell ref="A1:M1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D110:D112"/>
  </mergeCells>
  <pageMargins left="0.511811024" right="0.511811024" top="0.78740157499999996" bottom="0.78740157499999996" header="0" footer="0"/>
  <pageSetup paperSize="9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1033"/>
  <sheetViews>
    <sheetView topLeftCell="E57" zoomScaleNormal="100" workbookViewId="0">
      <selection activeCell="E57" sqref="E57"/>
    </sheetView>
  </sheetViews>
  <sheetFormatPr defaultColWidth="12.625" defaultRowHeight="15" customHeight="1" x14ac:dyDescent="0.2"/>
  <cols>
    <col min="1" max="1" width="30.125" customWidth="1"/>
    <col min="2" max="2" width="10.875" customWidth="1"/>
    <col min="3" max="3" width="10.25" customWidth="1"/>
    <col min="4" max="4" width="11.875" customWidth="1"/>
    <col min="5" max="5" width="11.375" bestFit="1" customWidth="1"/>
    <col min="6" max="6" width="9.625" customWidth="1"/>
    <col min="7" max="7" width="15" customWidth="1"/>
    <col min="8" max="8" width="12.75" customWidth="1"/>
    <col min="9" max="9" width="10.375" customWidth="1"/>
    <col min="10" max="10" width="12.5" customWidth="1"/>
    <col min="11" max="11" width="10.25" customWidth="1"/>
    <col min="12" max="12" width="15.375" customWidth="1"/>
    <col min="13" max="13" width="8" customWidth="1"/>
    <col min="14" max="14" width="9.875" customWidth="1"/>
    <col min="15" max="15" width="8" customWidth="1"/>
    <col min="16" max="16" width="10.25" customWidth="1"/>
    <col min="17" max="32" width="8" customWidth="1"/>
  </cols>
  <sheetData>
    <row r="1" spans="1:32" ht="14.25" customHeight="1" x14ac:dyDescent="0.25">
      <c r="A1" s="238" t="s">
        <v>90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5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customHeight="1" thickBot="1" x14ac:dyDescent="0.3">
      <c r="A2" s="88" t="s">
        <v>91</v>
      </c>
      <c r="B2" s="89">
        <v>2022</v>
      </c>
      <c r="C2" s="90"/>
      <c r="D2" s="90"/>
      <c r="E2" s="65"/>
      <c r="F2" s="65"/>
      <c r="G2" s="65"/>
      <c r="H2" s="90"/>
      <c r="I2" s="90"/>
      <c r="J2" s="90"/>
      <c r="K2" s="90"/>
      <c r="L2" s="90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91" t="s">
        <v>2</v>
      </c>
      <c r="B3" s="231" t="s">
        <v>3</v>
      </c>
      <c r="C3" s="231" t="s">
        <v>92</v>
      </c>
      <c r="D3" s="228" t="s">
        <v>93</v>
      </c>
      <c r="E3" s="241" t="s">
        <v>8</v>
      </c>
      <c r="F3" s="244" t="s">
        <v>94</v>
      </c>
      <c r="G3" s="244" t="s">
        <v>9</v>
      </c>
      <c r="H3" s="231" t="s">
        <v>11</v>
      </c>
      <c r="I3" s="231" t="s">
        <v>95</v>
      </c>
      <c r="J3" s="228" t="s">
        <v>12</v>
      </c>
      <c r="K3" s="228" t="s">
        <v>13</v>
      </c>
      <c r="L3" s="228" t="s">
        <v>14</v>
      </c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x14ac:dyDescent="0.25">
      <c r="A4" s="90" t="s">
        <v>15</v>
      </c>
      <c r="B4" s="229"/>
      <c r="C4" s="229"/>
      <c r="D4" s="229"/>
      <c r="E4" s="242"/>
      <c r="F4" s="229"/>
      <c r="G4" s="229"/>
      <c r="H4" s="229"/>
      <c r="I4" s="229"/>
      <c r="J4" s="229"/>
      <c r="K4" s="229"/>
      <c r="L4" s="229"/>
      <c r="M4" s="5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 x14ac:dyDescent="0.25">
      <c r="A5" s="92" t="s">
        <v>16</v>
      </c>
      <c r="B5" s="237"/>
      <c r="C5" s="237"/>
      <c r="D5" s="237"/>
      <c r="E5" s="243"/>
      <c r="F5" s="237"/>
      <c r="G5" s="237"/>
      <c r="H5" s="237"/>
      <c r="I5" s="237"/>
      <c r="J5" s="237"/>
      <c r="K5" s="237"/>
      <c r="L5" s="237"/>
      <c r="M5" s="5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 x14ac:dyDescent="0.25">
      <c r="A6" s="2" t="s">
        <v>96</v>
      </c>
      <c r="B6" s="235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5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 x14ac:dyDescent="0.25">
      <c r="A7" s="8" t="s">
        <v>97</v>
      </c>
      <c r="B7" s="54"/>
      <c r="C7" s="54"/>
      <c r="D7" s="54"/>
      <c r="E7" s="66"/>
      <c r="F7" s="66"/>
      <c r="G7" s="66"/>
      <c r="H7" s="54"/>
      <c r="I7" s="54"/>
      <c r="J7" s="54"/>
      <c r="K7" s="54"/>
      <c r="L7" s="54"/>
      <c r="M7" s="5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 x14ac:dyDescent="0.25">
      <c r="A8" s="10" t="s">
        <v>98</v>
      </c>
      <c r="B8" s="54"/>
      <c r="C8" s="54"/>
      <c r="D8" s="54"/>
      <c r="E8" s="66"/>
      <c r="F8" s="66"/>
      <c r="G8" s="66"/>
      <c r="H8" s="54"/>
      <c r="I8" s="54"/>
      <c r="J8" s="54"/>
      <c r="K8" s="54"/>
      <c r="L8" s="54"/>
      <c r="M8" s="5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 thickBot="1" x14ac:dyDescent="0.3">
      <c r="A9" s="6">
        <v>44579</v>
      </c>
      <c r="B9" s="55">
        <v>1806.45</v>
      </c>
      <c r="C9" s="55"/>
      <c r="D9" s="55"/>
      <c r="E9" s="67"/>
      <c r="F9" s="68"/>
      <c r="G9" s="69">
        <f>SUM(B9:F9)</f>
        <v>1806.45</v>
      </c>
      <c r="H9" s="56">
        <v>125.26</v>
      </c>
      <c r="I9" s="56">
        <v>0</v>
      </c>
      <c r="J9" s="56">
        <f>26+212.67</f>
        <v>238.67</v>
      </c>
      <c r="K9" s="56">
        <f>SUM(H9:J9)</f>
        <v>363.93</v>
      </c>
      <c r="L9" s="56">
        <f>G9-K9</f>
        <v>1442.52</v>
      </c>
      <c r="M9" s="5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4.25" customHeight="1" thickTop="1" x14ac:dyDescent="0.25">
      <c r="A10" s="8" t="s">
        <v>99</v>
      </c>
      <c r="B10" s="54"/>
      <c r="C10" s="54"/>
      <c r="D10" s="54"/>
      <c r="E10" s="66"/>
      <c r="F10" s="66"/>
      <c r="G10" s="66"/>
      <c r="H10" s="54"/>
      <c r="I10" s="54"/>
      <c r="J10" s="54"/>
      <c r="K10" s="54"/>
      <c r="L10" s="54"/>
      <c r="M10" s="5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4.25" customHeight="1" x14ac:dyDescent="0.25">
      <c r="A11" s="10" t="s">
        <v>100</v>
      </c>
      <c r="B11" s="54"/>
      <c r="C11" s="54"/>
      <c r="D11" s="54"/>
      <c r="E11" s="66"/>
      <c r="F11" s="66"/>
      <c r="G11" s="66"/>
      <c r="H11" s="54"/>
      <c r="I11" s="54"/>
      <c r="J11" s="54"/>
      <c r="K11" s="54"/>
      <c r="L11" s="54"/>
      <c r="M11" s="5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4.25" customHeight="1" thickBot="1" x14ac:dyDescent="0.3">
      <c r="A12" s="6">
        <v>43171</v>
      </c>
      <c r="B12" s="55">
        <v>1675.23</v>
      </c>
      <c r="C12" s="55">
        <v>30.89</v>
      </c>
      <c r="D12" s="55"/>
      <c r="E12" s="67"/>
      <c r="F12" s="68"/>
      <c r="G12" s="69">
        <f>SUM(B12:F12)</f>
        <v>1706.1200000000001</v>
      </c>
      <c r="H12" s="56">
        <v>139.87</v>
      </c>
      <c r="I12" s="56"/>
      <c r="J12" s="56">
        <f>60+1.98+66.85</f>
        <v>128.82999999999998</v>
      </c>
      <c r="K12" s="56">
        <f>SUM(H12:J12)</f>
        <v>268.7</v>
      </c>
      <c r="L12" s="56">
        <f>G12-K12</f>
        <v>1437.42</v>
      </c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.75" customHeight="1" thickTop="1" x14ac:dyDescent="0.25">
      <c r="A13" s="8" t="s">
        <v>101</v>
      </c>
      <c r="B13" s="57"/>
      <c r="C13" s="57"/>
      <c r="D13" s="57"/>
      <c r="E13" s="70"/>
      <c r="F13" s="70"/>
      <c r="G13" s="66"/>
      <c r="H13" s="54"/>
      <c r="I13" s="54"/>
      <c r="J13" s="54"/>
      <c r="K13" s="54"/>
      <c r="L13" s="54"/>
      <c r="M13" s="5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.75" customHeight="1" x14ac:dyDescent="0.25">
      <c r="A14" s="5" t="s">
        <v>102</v>
      </c>
      <c r="B14" s="57"/>
      <c r="C14" s="57"/>
      <c r="D14" s="57"/>
      <c r="E14" s="70"/>
      <c r="F14" s="70"/>
      <c r="G14" s="66"/>
      <c r="H14" s="54"/>
      <c r="I14" s="54"/>
      <c r="J14" s="54"/>
      <c r="K14" s="54"/>
      <c r="L14" s="54"/>
      <c r="M14" s="52"/>
      <c r="N14" s="1"/>
      <c r="O14" s="1"/>
      <c r="P14" s="3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.75" customHeight="1" thickBot="1" x14ac:dyDescent="0.3">
      <c r="A15" s="6">
        <v>42037</v>
      </c>
      <c r="B15" s="55">
        <v>3458.87</v>
      </c>
      <c r="C15" s="55">
        <v>56.64</v>
      </c>
      <c r="D15" s="55">
        <v>69.180000000000007</v>
      </c>
      <c r="E15" s="67"/>
      <c r="F15" s="68"/>
      <c r="G15" s="69">
        <f>SUM(B15:F15)</f>
        <v>3584.6899999999996</v>
      </c>
      <c r="H15" s="56">
        <v>367.11</v>
      </c>
      <c r="I15" s="56">
        <v>127.84</v>
      </c>
      <c r="J15" s="56">
        <f>60+2.2+229.53</f>
        <v>291.73</v>
      </c>
      <c r="K15" s="56">
        <f>H15+I15+J15</f>
        <v>786.68000000000006</v>
      </c>
      <c r="L15" s="56">
        <f>G15-K15</f>
        <v>2798.0099999999993</v>
      </c>
      <c r="M15" s="5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 thickTop="1" x14ac:dyDescent="0.25">
      <c r="A16" s="8" t="s">
        <v>103</v>
      </c>
      <c r="B16" s="57"/>
      <c r="C16" s="57"/>
      <c r="D16" s="57"/>
      <c r="E16" s="70"/>
      <c r="F16" s="70"/>
      <c r="G16" s="66"/>
      <c r="H16" s="54"/>
      <c r="I16" s="54"/>
      <c r="J16" s="54"/>
      <c r="K16" s="54"/>
      <c r="L16" s="54"/>
      <c r="M16" s="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 x14ac:dyDescent="0.25">
      <c r="A17" s="5" t="s">
        <v>104</v>
      </c>
      <c r="B17" s="57"/>
      <c r="C17" s="57"/>
      <c r="D17" s="57"/>
      <c r="E17" s="70"/>
      <c r="F17" s="70"/>
      <c r="G17" s="66"/>
      <c r="H17" s="54"/>
      <c r="I17" s="54"/>
      <c r="J17" s="54"/>
      <c r="K17" s="54"/>
      <c r="L17" s="54"/>
      <c r="M17" s="5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4.25" customHeight="1" thickBot="1" x14ac:dyDescent="0.3">
      <c r="A18" s="6">
        <v>41319</v>
      </c>
      <c r="B18" s="55">
        <v>2617.38</v>
      </c>
      <c r="C18" s="55">
        <f>5254.12+798.22</f>
        <v>6052.34</v>
      </c>
      <c r="D18" s="55">
        <v>52.35</v>
      </c>
      <c r="E18" s="67">
        <v>1177.82</v>
      </c>
      <c r="F18" s="68"/>
      <c r="G18" s="69">
        <f>SUM(B18:F18)</f>
        <v>9899.8900000000012</v>
      </c>
      <c r="H18" s="56">
        <f>109.52+640.05</f>
        <v>749.56999999999994</v>
      </c>
      <c r="I18" s="56">
        <f>371.35+299.21</f>
        <v>670.56</v>
      </c>
      <c r="J18" s="56">
        <f>60+0.66+26.71</f>
        <v>87.37</v>
      </c>
      <c r="K18" s="56">
        <f>H18+I18+J18</f>
        <v>1507.5</v>
      </c>
      <c r="L18" s="56">
        <f>G18-K18</f>
        <v>8392.3900000000012</v>
      </c>
      <c r="M18" s="5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4.25" customHeight="1" thickTop="1" x14ac:dyDescent="0.25">
      <c r="A19" s="8" t="s">
        <v>105</v>
      </c>
      <c r="B19" s="58"/>
      <c r="C19" s="58"/>
      <c r="D19" s="58"/>
      <c r="E19" s="71"/>
      <c r="F19" s="72"/>
      <c r="G19" s="73"/>
      <c r="H19" s="83"/>
      <c r="I19" s="83"/>
      <c r="J19" s="83"/>
      <c r="K19" s="83"/>
      <c r="L19" s="83"/>
      <c r="M19" s="5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4.25" customHeight="1" x14ac:dyDescent="0.25">
      <c r="A20" s="53" t="s">
        <v>106</v>
      </c>
      <c r="B20" s="58"/>
      <c r="C20" s="58"/>
      <c r="D20" s="58"/>
      <c r="E20" s="71"/>
      <c r="F20" s="72"/>
      <c r="G20" s="73"/>
      <c r="H20" s="83"/>
      <c r="I20" s="83"/>
      <c r="J20" s="83"/>
      <c r="K20" s="83"/>
      <c r="L20" s="83"/>
      <c r="M20" s="5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thickBot="1" x14ac:dyDescent="0.3">
      <c r="A21" s="49">
        <v>44522</v>
      </c>
      <c r="B21" s="56">
        <v>3578.94</v>
      </c>
      <c r="C21" s="56"/>
      <c r="D21" s="56"/>
      <c r="E21" s="69"/>
      <c r="F21" s="74"/>
      <c r="G21" s="69">
        <f>SUM(B21:F21)</f>
        <v>3578.94</v>
      </c>
      <c r="H21" s="56">
        <v>338.47</v>
      </c>
      <c r="I21" s="56">
        <v>102.83</v>
      </c>
      <c r="J21" s="56">
        <f>60+2.2</f>
        <v>62.2</v>
      </c>
      <c r="K21" s="56">
        <f>H21+I21+J21</f>
        <v>503.5</v>
      </c>
      <c r="L21" s="56">
        <f>G21-K21</f>
        <v>3075.44</v>
      </c>
      <c r="M21" s="5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thickTop="1" x14ac:dyDescent="0.25">
      <c r="A22" s="3" t="s">
        <v>107</v>
      </c>
      <c r="B22" s="54"/>
      <c r="C22" s="54"/>
      <c r="D22" s="54"/>
      <c r="E22" s="66"/>
      <c r="F22" s="66"/>
      <c r="G22" s="66"/>
      <c r="H22" s="54"/>
      <c r="I22" s="54"/>
      <c r="J22" s="54"/>
      <c r="K22" s="54"/>
      <c r="L22" s="54"/>
      <c r="M22" s="5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5" t="s">
        <v>108</v>
      </c>
      <c r="B23" s="54"/>
      <c r="C23" s="54"/>
      <c r="D23" s="54"/>
      <c r="E23" s="66"/>
      <c r="F23" s="66"/>
      <c r="G23" s="66"/>
      <c r="H23" s="54"/>
      <c r="I23" s="54"/>
      <c r="J23" s="54"/>
      <c r="K23" s="54"/>
      <c r="L23" s="54"/>
      <c r="M23" s="5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thickBot="1" x14ac:dyDescent="0.3">
      <c r="A24" s="49">
        <v>44207</v>
      </c>
      <c r="B24" s="56">
        <v>1623.62</v>
      </c>
      <c r="C24" s="56">
        <v>26.07</v>
      </c>
      <c r="D24" s="56"/>
      <c r="E24" s="69"/>
      <c r="F24" s="74"/>
      <c r="G24" s="69">
        <f>SUM(B24:F24)</f>
        <v>1649.6899999999998</v>
      </c>
      <c r="H24" s="56">
        <v>133.38</v>
      </c>
      <c r="I24" s="59"/>
      <c r="J24" s="56">
        <f>60+2.2+97.15+26.71</f>
        <v>186.06000000000003</v>
      </c>
      <c r="K24" s="56">
        <f>SUM(H24:J24)</f>
        <v>319.44000000000005</v>
      </c>
      <c r="L24" s="56">
        <f>G24-K24</f>
        <v>1330.2499999999998</v>
      </c>
      <c r="M24" s="5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thickTop="1" x14ac:dyDescent="0.25">
      <c r="A25" s="3" t="s">
        <v>109</v>
      </c>
      <c r="B25" s="54"/>
      <c r="C25" s="54"/>
      <c r="D25" s="54"/>
      <c r="E25" s="66"/>
      <c r="F25" s="66"/>
      <c r="G25" s="66"/>
      <c r="H25" s="54"/>
      <c r="I25" s="54"/>
      <c r="J25" s="54"/>
      <c r="K25" s="54"/>
      <c r="L25" s="54"/>
      <c r="M25" s="5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5" t="s">
        <v>110</v>
      </c>
      <c r="B26" s="54"/>
      <c r="C26" s="54"/>
      <c r="D26" s="54"/>
      <c r="E26" s="66"/>
      <c r="F26" s="66"/>
      <c r="G26" s="66"/>
      <c r="H26" s="54"/>
      <c r="I26" s="54"/>
      <c r="J26" s="54"/>
      <c r="K26" s="54"/>
      <c r="L26" s="54"/>
      <c r="M26" s="5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thickBot="1" x14ac:dyDescent="0.3">
      <c r="A27" s="49">
        <v>43739</v>
      </c>
      <c r="B27" s="56">
        <v>3458.87</v>
      </c>
      <c r="C27" s="56">
        <v>55.53</v>
      </c>
      <c r="D27" s="56"/>
      <c r="E27" s="69"/>
      <c r="F27" s="74"/>
      <c r="G27" s="69">
        <f>SUM(B27:F27)</f>
        <v>3514.4</v>
      </c>
      <c r="H27" s="56">
        <v>356.7</v>
      </c>
      <c r="I27" s="59">
        <v>118.86</v>
      </c>
      <c r="J27" s="56">
        <f>60+2.2+123.12+53.42</f>
        <v>238.74</v>
      </c>
      <c r="K27" s="56">
        <f>SUM(H27:J27)</f>
        <v>714.3</v>
      </c>
      <c r="L27" s="56">
        <f>G27-K27</f>
        <v>2800.1000000000004</v>
      </c>
      <c r="M27" s="5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4.25" customHeight="1" thickTop="1" x14ac:dyDescent="0.25">
      <c r="A28" s="8" t="s">
        <v>111</v>
      </c>
      <c r="B28" s="54"/>
      <c r="C28" s="54"/>
      <c r="D28" s="54"/>
      <c r="E28" s="66"/>
      <c r="F28" s="66"/>
      <c r="G28" s="66"/>
      <c r="H28" s="54"/>
      <c r="I28" s="54"/>
      <c r="J28" s="54"/>
      <c r="K28" s="54"/>
      <c r="L28" s="54"/>
      <c r="M28" s="5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4.25" customHeight="1" x14ac:dyDescent="0.25">
      <c r="A29" s="10" t="s">
        <v>100</v>
      </c>
      <c r="B29" s="54"/>
      <c r="C29" s="54"/>
      <c r="D29" s="54"/>
      <c r="E29" s="66"/>
      <c r="F29" s="66"/>
      <c r="G29" s="66"/>
      <c r="H29" s="54"/>
      <c r="I29" s="54"/>
      <c r="J29" s="54"/>
      <c r="K29" s="54"/>
      <c r="L29" s="54"/>
      <c r="M29" s="5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4.25" customHeight="1" thickBot="1" x14ac:dyDescent="0.3">
      <c r="A30" s="6">
        <v>43648</v>
      </c>
      <c r="B30" s="55">
        <v>1737.27</v>
      </c>
      <c r="C30" s="55">
        <v>27.89</v>
      </c>
      <c r="D30" s="55"/>
      <c r="E30" s="67"/>
      <c r="F30" s="68"/>
      <c r="G30" s="69">
        <f>SUM(B30:F30)</f>
        <v>1765.16</v>
      </c>
      <c r="H30" s="56">
        <v>143.99</v>
      </c>
      <c r="I30" s="56"/>
      <c r="J30" s="56">
        <f>60+2.2</f>
        <v>62.2</v>
      </c>
      <c r="K30" s="56">
        <f>SUM(H30:J30)</f>
        <v>206.19</v>
      </c>
      <c r="L30" s="56">
        <f>G30-K30</f>
        <v>1558.97</v>
      </c>
      <c r="M30" s="5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 thickTop="1" x14ac:dyDescent="0.25">
      <c r="A31" s="8" t="s">
        <v>112</v>
      </c>
      <c r="B31" s="54"/>
      <c r="C31" s="54"/>
      <c r="D31" s="54"/>
      <c r="E31" s="66"/>
      <c r="F31" s="66"/>
      <c r="G31" s="66"/>
      <c r="H31" s="54"/>
      <c r="I31" s="54"/>
      <c r="J31" s="54"/>
      <c r="K31" s="54"/>
      <c r="L31" s="54"/>
      <c r="M31" s="5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 x14ac:dyDescent="0.25">
      <c r="A32" s="10" t="s">
        <v>113</v>
      </c>
      <c r="B32" s="54"/>
      <c r="C32" s="54"/>
      <c r="D32" s="54"/>
      <c r="E32" s="66"/>
      <c r="F32" s="66"/>
      <c r="G32" s="66"/>
      <c r="H32" s="54"/>
      <c r="I32" s="54"/>
      <c r="J32" s="54"/>
      <c r="K32" s="54"/>
      <c r="L32" s="54"/>
      <c r="M32" s="5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 thickBot="1" x14ac:dyDescent="0.3">
      <c r="A33" s="6">
        <v>44580</v>
      </c>
      <c r="B33" s="55">
        <v>1522.2</v>
      </c>
      <c r="C33" s="55"/>
      <c r="D33" s="55"/>
      <c r="E33" s="67"/>
      <c r="F33" s="68"/>
      <c r="G33" s="69">
        <f>SUM(B33:F33)</f>
        <v>1522.2</v>
      </c>
      <c r="H33" s="56">
        <v>118.81</v>
      </c>
      <c r="I33" s="56"/>
      <c r="J33" s="56">
        <v>24</v>
      </c>
      <c r="K33" s="56">
        <f>SUM(H33:J33)</f>
        <v>142.81</v>
      </c>
      <c r="L33" s="56">
        <f>G33-K33</f>
        <v>1379.39</v>
      </c>
      <c r="M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 thickTop="1" x14ac:dyDescent="0.25">
      <c r="A34" s="3" t="s">
        <v>114</v>
      </c>
      <c r="B34" s="84"/>
      <c r="C34" s="84"/>
      <c r="D34" s="84"/>
      <c r="E34" s="75"/>
      <c r="F34" s="75"/>
      <c r="G34" s="75"/>
      <c r="H34" s="84"/>
      <c r="I34" s="84"/>
      <c r="J34" s="84"/>
      <c r="K34" s="84"/>
      <c r="L34" s="84"/>
      <c r="M34" s="5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 x14ac:dyDescent="0.25">
      <c r="A35" s="5" t="s">
        <v>100</v>
      </c>
      <c r="B35" s="57"/>
      <c r="C35" s="57"/>
      <c r="D35" s="57"/>
      <c r="E35" s="70"/>
      <c r="F35" s="70"/>
      <c r="G35" s="66"/>
      <c r="H35" s="54"/>
      <c r="I35" s="54"/>
      <c r="J35" s="54"/>
      <c r="K35" s="54"/>
      <c r="L35" s="54"/>
      <c r="M35" s="5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 thickBot="1" x14ac:dyDescent="0.3">
      <c r="A36" s="6">
        <v>43325</v>
      </c>
      <c r="B36" s="55">
        <v>1737.27</v>
      </c>
      <c r="C36" s="55">
        <v>27.89</v>
      </c>
      <c r="D36" s="55"/>
      <c r="E36" s="67"/>
      <c r="F36" s="68"/>
      <c r="G36" s="69">
        <f>SUM(B36:F36)</f>
        <v>1765.16</v>
      </c>
      <c r="H36" s="59">
        <v>143.99</v>
      </c>
      <c r="I36" s="56"/>
      <c r="J36" s="59">
        <f>60+2.2+90.21+26.71</f>
        <v>179.12</v>
      </c>
      <c r="K36" s="56">
        <f>SUM(H36:J36)</f>
        <v>323.11</v>
      </c>
      <c r="L36" s="56">
        <f>G36-K36</f>
        <v>1442.0500000000002</v>
      </c>
      <c r="M36" s="5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 thickTop="1" x14ac:dyDescent="0.25">
      <c r="A37" s="8" t="s">
        <v>115</v>
      </c>
      <c r="B37" s="57"/>
      <c r="C37" s="57"/>
      <c r="D37" s="57"/>
      <c r="E37" s="70"/>
      <c r="F37" s="70"/>
      <c r="G37" s="66"/>
      <c r="H37" s="54"/>
      <c r="I37" s="54"/>
      <c r="J37" s="54"/>
      <c r="K37" s="54"/>
      <c r="L37" s="54"/>
      <c r="M37" s="5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 x14ac:dyDescent="0.25">
      <c r="A38" s="10" t="s">
        <v>116</v>
      </c>
      <c r="B38" s="57"/>
      <c r="C38" s="57"/>
      <c r="D38" s="57"/>
      <c r="E38" s="70"/>
      <c r="F38" s="70"/>
      <c r="G38" s="66"/>
      <c r="H38" s="54"/>
      <c r="I38" s="54"/>
      <c r="J38" s="54"/>
      <c r="K38" s="54"/>
      <c r="L38" s="54"/>
      <c r="M38" s="5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 thickBot="1" x14ac:dyDescent="0.3">
      <c r="A39" s="6">
        <v>43325</v>
      </c>
      <c r="B39" s="55">
        <v>1240.9100000000001</v>
      </c>
      <c r="C39" s="55">
        <f>40.44+1100.24</f>
        <v>1140.68</v>
      </c>
      <c r="D39" s="55"/>
      <c r="E39" s="67">
        <v>558.41</v>
      </c>
      <c r="F39" s="68"/>
      <c r="G39" s="69">
        <f>SUM(B39:F39)</f>
        <v>2940</v>
      </c>
      <c r="H39" s="56">
        <f>194.01+84.17</f>
        <v>278.18</v>
      </c>
      <c r="I39" s="56"/>
      <c r="J39" s="56">
        <f>19.23+60+1.98+127.45</f>
        <v>208.66000000000003</v>
      </c>
      <c r="K39" s="56">
        <f>H39+I39+J39</f>
        <v>486.84000000000003</v>
      </c>
      <c r="L39" s="56">
        <f>G39-K39</f>
        <v>2453.16</v>
      </c>
      <c r="M39" s="5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 thickTop="1" x14ac:dyDescent="0.25">
      <c r="A40" s="8" t="s">
        <v>117</v>
      </c>
      <c r="B40" s="54"/>
      <c r="C40" s="54"/>
      <c r="D40" s="54"/>
      <c r="E40" s="66"/>
      <c r="F40" s="66"/>
      <c r="G40" s="66"/>
      <c r="H40" s="54"/>
      <c r="I40" s="54"/>
      <c r="J40" s="54"/>
      <c r="K40" s="54"/>
      <c r="L40" s="54"/>
      <c r="M40" s="5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 x14ac:dyDescent="0.25">
      <c r="A41" s="5" t="s">
        <v>100</v>
      </c>
      <c r="B41" s="54"/>
      <c r="C41" s="54"/>
      <c r="D41" s="54"/>
      <c r="E41" s="66"/>
      <c r="F41" s="66"/>
      <c r="G41" s="66"/>
      <c r="H41" s="54"/>
      <c r="I41" s="54"/>
      <c r="J41" s="54"/>
      <c r="K41" s="54"/>
      <c r="L41" s="54"/>
      <c r="M41" s="5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 thickBot="1" x14ac:dyDescent="0.3">
      <c r="A42" s="51">
        <v>43479</v>
      </c>
      <c r="B42" s="56">
        <v>1737.27</v>
      </c>
      <c r="C42" s="56">
        <v>27.89</v>
      </c>
      <c r="D42" s="56"/>
      <c r="E42" s="69">
        <v>446.73</v>
      </c>
      <c r="F42" s="74"/>
      <c r="G42" s="69">
        <f>SUM(B42:F42)</f>
        <v>2211.8900000000003</v>
      </c>
      <c r="H42" s="56">
        <v>184.34</v>
      </c>
      <c r="I42" s="56"/>
      <c r="J42" s="56">
        <f>60+2.2+120.45+19.23</f>
        <v>201.88</v>
      </c>
      <c r="K42" s="56">
        <f>H42+I42+J42</f>
        <v>386.22</v>
      </c>
      <c r="L42" s="56">
        <f>G42-K42</f>
        <v>1825.6700000000003</v>
      </c>
      <c r="M42" s="5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 thickTop="1" x14ac:dyDescent="0.25">
      <c r="A43" s="8" t="s">
        <v>118</v>
      </c>
      <c r="B43" s="54"/>
      <c r="C43" s="54"/>
      <c r="D43" s="54"/>
      <c r="E43" s="66"/>
      <c r="F43" s="66"/>
      <c r="G43" s="66"/>
      <c r="H43" s="54"/>
      <c r="I43" s="54"/>
      <c r="J43" s="54"/>
      <c r="K43" s="54"/>
      <c r="L43" s="54"/>
      <c r="M43" s="5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 x14ac:dyDescent="0.25">
      <c r="A44" s="5" t="s">
        <v>119</v>
      </c>
      <c r="B44" s="54"/>
      <c r="C44" s="54"/>
      <c r="D44" s="54"/>
      <c r="E44" s="66"/>
      <c r="F44" s="66"/>
      <c r="G44" s="66"/>
      <c r="H44" s="54"/>
      <c r="I44" s="54"/>
      <c r="J44" s="54"/>
      <c r="K44" s="54"/>
      <c r="L44" s="54"/>
      <c r="M44" s="5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 customHeight="1" thickBot="1" x14ac:dyDescent="0.3">
      <c r="A45" s="51">
        <v>44341</v>
      </c>
      <c r="B45" s="56">
        <v>1478.65</v>
      </c>
      <c r="C45" s="56">
        <v>52.13</v>
      </c>
      <c r="D45" s="56"/>
      <c r="E45" s="69"/>
      <c r="F45" s="74"/>
      <c r="G45" s="69">
        <f>SUM(B45:F45)</f>
        <v>1530.7800000000002</v>
      </c>
      <c r="H45" s="56">
        <v>125.26</v>
      </c>
      <c r="I45" s="56"/>
      <c r="J45" s="56">
        <f>60+2.2+133.55</f>
        <v>195.75</v>
      </c>
      <c r="K45" s="56">
        <f>H45+I45+J45</f>
        <v>321.01</v>
      </c>
      <c r="L45" s="56">
        <f>G45-K45</f>
        <v>1209.7700000000002</v>
      </c>
      <c r="M45" s="5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.75" customHeight="1" thickTop="1" thickBot="1" x14ac:dyDescent="0.3">
      <c r="A46" s="28" t="s">
        <v>120</v>
      </c>
      <c r="B46" s="235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5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 customHeight="1" thickTop="1" x14ac:dyDescent="0.25">
      <c r="A47" s="8" t="s">
        <v>121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5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customHeight="1" x14ac:dyDescent="0.25">
      <c r="A48" s="53" t="s">
        <v>122</v>
      </c>
      <c r="B48" s="58"/>
      <c r="C48" s="58"/>
      <c r="D48" s="58"/>
      <c r="E48" s="71"/>
      <c r="F48" s="71"/>
      <c r="G48" s="73"/>
      <c r="H48" s="83"/>
      <c r="I48" s="83"/>
      <c r="J48" s="83"/>
      <c r="K48" s="83"/>
      <c r="L48" s="83"/>
      <c r="M48" s="5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thickBot="1" x14ac:dyDescent="0.3">
      <c r="A49" s="50">
        <v>38054</v>
      </c>
      <c r="B49" s="55">
        <v>2607.1799999999998</v>
      </c>
      <c r="C49" s="55">
        <v>61.53</v>
      </c>
      <c r="D49" s="55">
        <v>52.14</v>
      </c>
      <c r="E49" s="67">
        <v>1173.23</v>
      </c>
      <c r="F49" s="67"/>
      <c r="G49" s="69">
        <f>SUM(B49:F49)</f>
        <v>3894.08</v>
      </c>
      <c r="H49" s="56">
        <v>412.94</v>
      </c>
      <c r="I49" s="56">
        <v>167.37</v>
      </c>
      <c r="J49" s="56">
        <f>60+2.2+126.81</f>
        <v>189.01</v>
      </c>
      <c r="K49" s="56">
        <f>H49+I49+J49</f>
        <v>769.31999999999994</v>
      </c>
      <c r="L49" s="56">
        <f>G49-K49</f>
        <v>3124.76</v>
      </c>
      <c r="M49" s="5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thickTop="1" x14ac:dyDescent="0.25">
      <c r="A50" s="8" t="s">
        <v>123</v>
      </c>
      <c r="B50" s="58"/>
      <c r="C50" s="58"/>
      <c r="D50" s="58"/>
      <c r="E50" s="71"/>
      <c r="F50" s="71"/>
      <c r="G50" s="73"/>
      <c r="H50" s="83"/>
      <c r="I50" s="83"/>
      <c r="J50" s="83"/>
      <c r="K50" s="83"/>
      <c r="L50" s="83"/>
      <c r="M50" s="5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x14ac:dyDescent="0.25">
      <c r="A51" s="53" t="s">
        <v>108</v>
      </c>
      <c r="B51" s="58"/>
      <c r="C51" s="58"/>
      <c r="D51" s="58"/>
      <c r="E51" s="71"/>
      <c r="F51" s="71"/>
      <c r="G51" s="73"/>
      <c r="H51" s="83"/>
      <c r="I51" s="83"/>
      <c r="J51" s="83"/>
      <c r="K51" s="83"/>
      <c r="L51" s="83"/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thickBot="1" x14ac:dyDescent="0.3">
      <c r="A52" s="50">
        <v>44319</v>
      </c>
      <c r="B52" s="55">
        <v>1623.62</v>
      </c>
      <c r="C52" s="55">
        <v>26.07</v>
      </c>
      <c r="D52" s="55"/>
      <c r="E52" s="67"/>
      <c r="F52" s="67"/>
      <c r="G52" s="69">
        <f>SUM(B52:F52)</f>
        <v>1649.6899999999998</v>
      </c>
      <c r="H52" s="56">
        <v>133.38</v>
      </c>
      <c r="I52" s="56"/>
      <c r="J52" s="56">
        <f>60+2.2</f>
        <v>62.2</v>
      </c>
      <c r="K52" s="56">
        <f>H52+I52+J52</f>
        <v>195.57999999999998</v>
      </c>
      <c r="L52" s="56">
        <f>G52-K52</f>
        <v>1454.11</v>
      </c>
      <c r="M52" s="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thickTop="1" x14ac:dyDescent="0.25">
      <c r="A53" s="8" t="s">
        <v>124</v>
      </c>
      <c r="B53" s="58"/>
      <c r="C53" s="58"/>
      <c r="D53" s="58"/>
      <c r="E53" s="71"/>
      <c r="F53" s="71"/>
      <c r="G53" s="73"/>
      <c r="H53" s="83"/>
      <c r="I53" s="83"/>
      <c r="J53" s="83"/>
      <c r="K53" s="83"/>
      <c r="L53" s="83"/>
      <c r="M53" s="5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53" t="s">
        <v>116</v>
      </c>
      <c r="B54" s="58"/>
      <c r="C54" s="58"/>
      <c r="D54" s="58"/>
      <c r="E54" s="71"/>
      <c r="F54" s="71"/>
      <c r="G54" s="73"/>
      <c r="H54" s="83"/>
      <c r="I54" s="83"/>
      <c r="J54" s="83"/>
      <c r="K54" s="83"/>
      <c r="L54" s="83"/>
      <c r="M54" s="5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thickBot="1" x14ac:dyDescent="0.3">
      <c r="A55" s="50">
        <v>43845</v>
      </c>
      <c r="B55" s="55">
        <v>1866.58</v>
      </c>
      <c r="C55" s="55">
        <v>26.07</v>
      </c>
      <c r="D55" s="55"/>
      <c r="E55" s="67"/>
      <c r="F55" s="67"/>
      <c r="G55" s="69">
        <f>SUM(B55:F55)</f>
        <v>1892.6499999999999</v>
      </c>
      <c r="H55" s="56">
        <v>155.24</v>
      </c>
      <c r="I55" s="56"/>
      <c r="J55" s="56">
        <f>19.23+60+2.09+97.15</f>
        <v>178.47000000000003</v>
      </c>
      <c r="K55" s="56">
        <f>H55+I55+J55</f>
        <v>333.71000000000004</v>
      </c>
      <c r="L55" s="56">
        <f>G55-K55</f>
        <v>1558.9399999999998</v>
      </c>
      <c r="M55" s="5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.75" customHeight="1" thickTop="1" x14ac:dyDescent="0.25">
      <c r="A56" s="8" t="s">
        <v>125</v>
      </c>
      <c r="B56" s="58"/>
      <c r="C56" s="58"/>
      <c r="D56" s="58"/>
      <c r="E56" s="71"/>
      <c r="F56" s="71"/>
      <c r="G56" s="73"/>
      <c r="H56" s="83"/>
      <c r="I56" s="83"/>
      <c r="J56" s="83"/>
      <c r="K56" s="83"/>
      <c r="L56" s="83"/>
      <c r="M56" s="5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 customHeight="1" x14ac:dyDescent="0.25">
      <c r="A57" s="53" t="s">
        <v>126</v>
      </c>
      <c r="B57" s="58"/>
      <c r="C57" s="58"/>
      <c r="D57" s="58"/>
      <c r="E57" s="71"/>
      <c r="F57" s="71"/>
      <c r="G57" s="73"/>
      <c r="H57" s="83"/>
      <c r="I57" s="83"/>
      <c r="J57" s="83"/>
      <c r="K57" s="83"/>
      <c r="L57" s="83"/>
      <c r="M57" s="5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 customHeight="1" thickBot="1" x14ac:dyDescent="0.3">
      <c r="A58" s="50">
        <v>39783</v>
      </c>
      <c r="B58" s="55">
        <v>2607.1799999999998</v>
      </c>
      <c r="C58" s="55">
        <v>61.53</v>
      </c>
      <c r="D58" s="55">
        <v>52.14</v>
      </c>
      <c r="E58" s="67">
        <v>1173.23</v>
      </c>
      <c r="F58" s="67"/>
      <c r="G58" s="69">
        <f>SUM(B58:F58)</f>
        <v>3894.08</v>
      </c>
      <c r="H58" s="56">
        <v>412.94</v>
      </c>
      <c r="I58" s="56">
        <v>167.37</v>
      </c>
      <c r="J58" s="56">
        <f>60+2.2+666.46+80.13</f>
        <v>808.79000000000008</v>
      </c>
      <c r="K58" s="56">
        <f>H58+I58+J58</f>
        <v>1389.1</v>
      </c>
      <c r="L58" s="56">
        <f>G58-K58</f>
        <v>2504.98</v>
      </c>
      <c r="M58" s="5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.75" customHeight="1" thickTop="1" x14ac:dyDescent="0.25">
      <c r="A59" s="82"/>
      <c r="B59" s="58"/>
      <c r="C59" s="58"/>
      <c r="D59" s="58"/>
      <c r="E59" s="71"/>
      <c r="F59" s="71"/>
      <c r="G59" s="73"/>
      <c r="H59" s="83"/>
      <c r="I59" s="83"/>
      <c r="J59" s="83"/>
      <c r="K59" s="83"/>
      <c r="L59" s="83"/>
      <c r="M59" s="5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customHeight="1" x14ac:dyDescent="0.25">
      <c r="A60" s="82"/>
      <c r="B60" s="58"/>
      <c r="C60" s="58"/>
      <c r="D60" s="58"/>
      <c r="E60" s="71"/>
      <c r="F60" s="71"/>
      <c r="G60" s="73"/>
      <c r="H60" s="83"/>
      <c r="I60" s="83"/>
      <c r="J60" s="83"/>
      <c r="K60" s="83"/>
      <c r="L60" s="83"/>
      <c r="M60" s="5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 customHeight="1" x14ac:dyDescent="0.25">
      <c r="A61" s="82"/>
      <c r="B61" s="58"/>
      <c r="C61" s="58"/>
      <c r="D61" s="58"/>
      <c r="E61" s="71"/>
      <c r="F61" s="71"/>
      <c r="G61" s="73"/>
      <c r="H61" s="83"/>
      <c r="I61" s="83"/>
      <c r="J61" s="83"/>
      <c r="K61" s="83"/>
      <c r="L61" s="83"/>
      <c r="M61" s="5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 customHeight="1" x14ac:dyDescent="0.25">
      <c r="A62" s="82"/>
      <c r="B62" s="58"/>
      <c r="C62" s="58"/>
      <c r="D62" s="58"/>
      <c r="E62" s="71"/>
      <c r="F62" s="71"/>
      <c r="G62" s="73"/>
      <c r="H62" s="83"/>
      <c r="I62" s="83"/>
      <c r="J62" s="83"/>
      <c r="K62" s="83"/>
      <c r="L62" s="83"/>
      <c r="M62" s="5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M63" s="5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25">
      <c r="A64" s="238" t="s">
        <v>90</v>
      </c>
      <c r="B64" s="229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thickBot="1" x14ac:dyDescent="0.3">
      <c r="A65" s="88" t="s">
        <v>91</v>
      </c>
      <c r="B65" s="89">
        <v>2022</v>
      </c>
      <c r="C65" s="90"/>
      <c r="D65" s="90"/>
      <c r="E65" s="65"/>
      <c r="F65" s="65"/>
      <c r="G65" s="65"/>
      <c r="H65" s="90"/>
      <c r="I65" s="90"/>
      <c r="J65" s="90"/>
      <c r="K65" s="90"/>
      <c r="L65" s="90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A66" s="91" t="s">
        <v>2</v>
      </c>
      <c r="B66" s="231" t="s">
        <v>3</v>
      </c>
      <c r="C66" s="231" t="s">
        <v>92</v>
      </c>
      <c r="D66" s="228" t="s">
        <v>93</v>
      </c>
      <c r="E66" s="241" t="s">
        <v>8</v>
      </c>
      <c r="F66" s="244" t="s">
        <v>94</v>
      </c>
      <c r="G66" s="244" t="s">
        <v>9</v>
      </c>
      <c r="H66" s="231" t="s">
        <v>11</v>
      </c>
      <c r="I66" s="231" t="s">
        <v>95</v>
      </c>
      <c r="J66" s="228" t="s">
        <v>12</v>
      </c>
      <c r="K66" s="228" t="s">
        <v>13</v>
      </c>
      <c r="L66" s="228" t="s">
        <v>14</v>
      </c>
      <c r="M66" s="5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25">
      <c r="A67" s="90" t="s">
        <v>15</v>
      </c>
      <c r="B67" s="229"/>
      <c r="C67" s="229"/>
      <c r="D67" s="229"/>
      <c r="E67" s="242"/>
      <c r="F67" s="229"/>
      <c r="G67" s="229"/>
      <c r="H67" s="229"/>
      <c r="I67" s="229"/>
      <c r="J67" s="229"/>
      <c r="K67" s="229"/>
      <c r="L67" s="229"/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x14ac:dyDescent="0.25">
      <c r="A68" s="92" t="s">
        <v>16</v>
      </c>
      <c r="B68" s="237"/>
      <c r="C68" s="237"/>
      <c r="D68" s="237"/>
      <c r="E68" s="243"/>
      <c r="F68" s="237"/>
      <c r="G68" s="237"/>
      <c r="H68" s="237"/>
      <c r="I68" s="237"/>
      <c r="J68" s="237"/>
      <c r="K68" s="237"/>
      <c r="L68" s="237"/>
      <c r="M68" s="5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2" t="s">
        <v>120</v>
      </c>
      <c r="B69" s="235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25">
      <c r="A70" s="3" t="s">
        <v>127</v>
      </c>
      <c r="B70" s="57"/>
      <c r="C70" s="60"/>
      <c r="D70" s="60"/>
      <c r="E70" s="76"/>
      <c r="F70" s="77"/>
      <c r="G70" s="78"/>
      <c r="H70" s="61"/>
      <c r="I70" s="61"/>
      <c r="J70" s="61"/>
      <c r="K70" s="61"/>
      <c r="L70" s="61"/>
      <c r="M70" s="5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25">
      <c r="A71" s="5" t="s">
        <v>116</v>
      </c>
      <c r="B71" s="57"/>
      <c r="C71" s="60"/>
      <c r="D71" s="60"/>
      <c r="E71" s="76"/>
      <c r="F71" s="77"/>
      <c r="G71" s="78"/>
      <c r="H71" s="61"/>
      <c r="I71" s="61"/>
      <c r="J71" s="61"/>
      <c r="K71" s="61"/>
      <c r="L71" s="61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thickBot="1" x14ac:dyDescent="0.3">
      <c r="A72" s="50">
        <v>43325</v>
      </c>
      <c r="B72" s="55">
        <v>1737.27</v>
      </c>
      <c r="C72" s="55">
        <v>38.700000000000003</v>
      </c>
      <c r="D72" s="55"/>
      <c r="E72" s="67">
        <v>781.78</v>
      </c>
      <c r="F72" s="67"/>
      <c r="G72" s="69">
        <f>SUM(B72:F72)</f>
        <v>2557.75</v>
      </c>
      <c r="H72" s="56">
        <v>230.38</v>
      </c>
      <c r="I72" s="56">
        <v>31.75</v>
      </c>
      <c r="J72" s="56">
        <f>60+2.2+66.85+26.71</f>
        <v>155.76000000000002</v>
      </c>
      <c r="K72" s="56">
        <f>H72+I72+J72</f>
        <v>417.89</v>
      </c>
      <c r="L72" s="56">
        <f>G72-K72</f>
        <v>2139.86</v>
      </c>
      <c r="M72" s="5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thickTop="1" x14ac:dyDescent="0.25">
      <c r="A73" s="8" t="s">
        <v>128</v>
      </c>
      <c r="B73" s="57"/>
      <c r="C73" s="57"/>
      <c r="D73" s="57"/>
      <c r="E73" s="70"/>
      <c r="F73" s="70"/>
      <c r="G73" s="66"/>
      <c r="H73" s="54"/>
      <c r="I73" s="54"/>
      <c r="J73" s="54"/>
      <c r="K73" s="54"/>
      <c r="L73" s="54"/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25">
      <c r="A74" s="10" t="s">
        <v>116</v>
      </c>
      <c r="B74" s="57"/>
      <c r="C74" s="57"/>
      <c r="D74" s="57"/>
      <c r="E74" s="70"/>
      <c r="F74" s="70"/>
      <c r="G74" s="66"/>
      <c r="H74" s="54"/>
      <c r="I74" s="54"/>
      <c r="J74" s="54"/>
      <c r="K74" s="54"/>
      <c r="L74" s="54"/>
      <c r="M74" s="5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thickBot="1" x14ac:dyDescent="0.3">
      <c r="A75" s="6">
        <v>43325</v>
      </c>
      <c r="B75" s="55">
        <v>1737.27</v>
      </c>
      <c r="C75" s="55">
        <v>40.44</v>
      </c>
      <c r="D75" s="55"/>
      <c r="E75" s="67">
        <v>781.77</v>
      </c>
      <c r="F75" s="68"/>
      <c r="G75" s="69">
        <f>SUM(B75:F75)</f>
        <v>2559.48</v>
      </c>
      <c r="H75" s="56">
        <v>230.51</v>
      </c>
      <c r="I75" s="56">
        <v>31.87</v>
      </c>
      <c r="J75" s="56">
        <f>19.23+60+2.2+318.39</f>
        <v>399.82</v>
      </c>
      <c r="K75" s="56">
        <f>H75+I75+J75</f>
        <v>662.2</v>
      </c>
      <c r="L75" s="56">
        <f>G75-K75</f>
        <v>1897.28</v>
      </c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thickTop="1" x14ac:dyDescent="0.25">
      <c r="A76" s="28" t="s">
        <v>129</v>
      </c>
      <c r="B76" s="235"/>
      <c r="C76" s="236"/>
      <c r="D76" s="236"/>
      <c r="E76" s="236"/>
      <c r="F76" s="236"/>
      <c r="G76" s="236"/>
      <c r="H76" s="236"/>
      <c r="I76" s="236"/>
      <c r="J76" s="236"/>
      <c r="K76" s="236"/>
      <c r="L76" s="236"/>
      <c r="M76" s="5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25">
      <c r="A77" s="3" t="s">
        <v>130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x14ac:dyDescent="0.25">
      <c r="A78" s="5" t="s">
        <v>131</v>
      </c>
      <c r="B78" s="57"/>
      <c r="C78" s="60"/>
      <c r="D78" s="60"/>
      <c r="E78" s="76"/>
      <c r="F78" s="77"/>
      <c r="G78" s="78"/>
      <c r="H78" s="61"/>
      <c r="I78" s="61"/>
      <c r="J78" s="61"/>
      <c r="K78" s="61"/>
      <c r="L78" s="61"/>
      <c r="M78" s="5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thickBot="1" x14ac:dyDescent="0.3">
      <c r="A79" s="50">
        <v>44509</v>
      </c>
      <c r="B79" s="55">
        <v>2663.52</v>
      </c>
      <c r="C79" s="55"/>
      <c r="D79" s="55"/>
      <c r="E79" s="67"/>
      <c r="F79" s="67"/>
      <c r="G79" s="69">
        <f>SUM(B79:F79)</f>
        <v>2663.52</v>
      </c>
      <c r="H79" s="56">
        <v>228.62</v>
      </c>
      <c r="I79" s="56">
        <v>39.82</v>
      </c>
      <c r="J79" s="56">
        <f>26.64+60+2.2</f>
        <v>88.84</v>
      </c>
      <c r="K79" s="56">
        <f>H79+I79+J79</f>
        <v>357.28</v>
      </c>
      <c r="L79" s="56">
        <f>G79-K79</f>
        <v>2306.2399999999998</v>
      </c>
      <c r="M79" s="5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 thickTop="1" x14ac:dyDescent="0.25">
      <c r="A80" s="8" t="s">
        <v>132</v>
      </c>
      <c r="B80" s="12"/>
      <c r="C80" s="12"/>
      <c r="D80" s="12"/>
      <c r="E80" s="12"/>
      <c r="F80" s="12"/>
      <c r="G80" s="23"/>
      <c r="H80" s="23"/>
      <c r="I80" s="23"/>
      <c r="J80" s="23"/>
      <c r="K80" s="23"/>
      <c r="L80" s="23"/>
      <c r="M80" s="5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x14ac:dyDescent="0.25">
      <c r="A81" s="5" t="s">
        <v>133</v>
      </c>
      <c r="B81" s="57"/>
      <c r="C81" s="57"/>
      <c r="D81" s="57"/>
      <c r="E81" s="70"/>
      <c r="F81" s="70"/>
      <c r="G81" s="66"/>
      <c r="H81" s="54"/>
      <c r="I81" s="54"/>
      <c r="J81" s="54"/>
      <c r="K81" s="54"/>
      <c r="L81" s="54"/>
      <c r="M81" s="52"/>
      <c r="N81" s="1"/>
      <c r="O81" s="1"/>
      <c r="P81" s="34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6.5" customHeight="1" thickBot="1" x14ac:dyDescent="0.3">
      <c r="A82" s="6">
        <v>43325</v>
      </c>
      <c r="B82" s="55">
        <v>2574.16</v>
      </c>
      <c r="C82" s="55">
        <v>41.32</v>
      </c>
      <c r="D82" s="55"/>
      <c r="E82" s="67">
        <v>1158.3699999999999</v>
      </c>
      <c r="F82" s="68"/>
      <c r="G82" s="69">
        <f>SUM(B82:F82)</f>
        <v>3773.85</v>
      </c>
      <c r="H82" s="56">
        <v>385.73</v>
      </c>
      <c r="I82" s="56">
        <v>96.54</v>
      </c>
      <c r="J82" s="56">
        <f>28.5+60+2.09+26.71</f>
        <v>117.30000000000001</v>
      </c>
      <c r="K82" s="56">
        <f>H82+I82+J82</f>
        <v>599.57000000000005</v>
      </c>
      <c r="L82" s="56">
        <f>G82-K82</f>
        <v>3174.2799999999997</v>
      </c>
      <c r="M82" s="5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 thickTop="1" x14ac:dyDescent="0.25">
      <c r="A83" s="28" t="s">
        <v>134</v>
      </c>
      <c r="B83" s="235"/>
      <c r="C83" s="236"/>
      <c r="D83" s="236"/>
      <c r="E83" s="236"/>
      <c r="F83" s="236"/>
      <c r="G83" s="236"/>
      <c r="H83" s="236"/>
      <c r="I83" s="236"/>
      <c r="J83" s="236"/>
      <c r="K83" s="236"/>
      <c r="L83" s="236"/>
      <c r="M83" s="5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 x14ac:dyDescent="0.25">
      <c r="A84" s="8" t="s">
        <v>135</v>
      </c>
      <c r="B84" s="12"/>
      <c r="C84" s="12"/>
      <c r="D84" s="12"/>
      <c r="E84" s="12"/>
      <c r="F84" s="12"/>
      <c r="G84" s="23"/>
      <c r="H84" s="23"/>
      <c r="I84" s="23"/>
      <c r="J84" s="23"/>
      <c r="K84" s="23"/>
      <c r="L84" s="23"/>
      <c r="M84" s="5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 x14ac:dyDescent="0.25">
      <c r="A85" s="5" t="s">
        <v>136</v>
      </c>
      <c r="B85" s="57"/>
      <c r="C85" s="57"/>
      <c r="D85" s="57"/>
      <c r="E85" s="70"/>
      <c r="F85" s="70"/>
      <c r="G85" s="66"/>
      <c r="H85" s="54"/>
      <c r="I85" s="54"/>
      <c r="J85" s="54"/>
      <c r="K85" s="54"/>
      <c r="L85" s="54"/>
      <c r="M85" s="52"/>
      <c r="N85" s="1"/>
      <c r="O85" s="1"/>
      <c r="P85" s="34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6.5" customHeight="1" thickBot="1" x14ac:dyDescent="0.3">
      <c r="A86" s="6">
        <v>43675</v>
      </c>
      <c r="B86" s="55">
        <v>2574.16</v>
      </c>
      <c r="C86" s="55">
        <v>41.32</v>
      </c>
      <c r="D86" s="55"/>
      <c r="E86" s="67"/>
      <c r="F86" s="68"/>
      <c r="G86" s="69">
        <f>SUM(B86:F86)</f>
        <v>2615.48</v>
      </c>
      <c r="H86" s="56">
        <v>224.2</v>
      </c>
      <c r="I86" s="56">
        <v>28.21</v>
      </c>
      <c r="J86" s="56">
        <f>111.15+60+2.2+108.95</f>
        <v>282.3</v>
      </c>
      <c r="K86" s="56">
        <f>H86+I86+J86</f>
        <v>534.71</v>
      </c>
      <c r="L86" s="56">
        <f>G86-K86</f>
        <v>2080.77</v>
      </c>
      <c r="M86" s="5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thickTop="1" x14ac:dyDescent="0.25">
      <c r="A87" s="28" t="s">
        <v>137</v>
      </c>
      <c r="B87" s="235"/>
      <c r="C87" s="236"/>
      <c r="D87" s="236"/>
      <c r="E87" s="236"/>
      <c r="F87" s="236"/>
      <c r="G87" s="236"/>
      <c r="H87" s="236"/>
      <c r="I87" s="236"/>
      <c r="J87" s="236"/>
      <c r="K87" s="236"/>
      <c r="L87" s="236"/>
      <c r="M87" s="5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 x14ac:dyDescent="0.25">
      <c r="A88" s="8" t="s">
        <v>138</v>
      </c>
      <c r="B88" s="12"/>
      <c r="C88" s="12"/>
      <c r="D88" s="12"/>
      <c r="E88" s="12"/>
      <c r="F88" s="12"/>
      <c r="G88" s="23"/>
      <c r="H88" s="23"/>
      <c r="I88" s="23"/>
      <c r="J88" s="23"/>
      <c r="K88" s="23"/>
      <c r="L88" s="23"/>
      <c r="M88" s="5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x14ac:dyDescent="0.25">
      <c r="A89" s="5" t="s">
        <v>131</v>
      </c>
      <c r="B89" s="57"/>
      <c r="C89" s="57"/>
      <c r="D89" s="57"/>
      <c r="E89" s="70"/>
      <c r="F89" s="70"/>
      <c r="G89" s="66"/>
      <c r="H89" s="54"/>
      <c r="I89" s="54"/>
      <c r="J89" s="54"/>
      <c r="K89" s="54"/>
      <c r="L89" s="54"/>
      <c r="M89" s="52"/>
      <c r="N89" s="1"/>
      <c r="O89" s="1"/>
      <c r="P89" s="34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6.5" customHeight="1" thickBot="1" x14ac:dyDescent="0.3">
      <c r="A90" s="6">
        <v>44516</v>
      </c>
      <c r="B90" s="55">
        <v>2663.52</v>
      </c>
      <c r="C90" s="55"/>
      <c r="D90" s="55"/>
      <c r="E90" s="67"/>
      <c r="F90" s="68"/>
      <c r="G90" s="69">
        <f>SUM(B90:F90)</f>
        <v>2663.52</v>
      </c>
      <c r="H90" s="56">
        <v>228.62</v>
      </c>
      <c r="I90" s="56">
        <v>25.6</v>
      </c>
      <c r="J90" s="56">
        <f>60+2.2</f>
        <v>62.2</v>
      </c>
      <c r="K90" s="56">
        <f>H90+I90+J90</f>
        <v>316.42</v>
      </c>
      <c r="L90" s="56">
        <f>G90-K90</f>
        <v>2347.1</v>
      </c>
      <c r="M90" s="5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thickTop="1" x14ac:dyDescent="0.25">
      <c r="A91" s="28" t="s">
        <v>139</v>
      </c>
      <c r="B91" s="235"/>
      <c r="C91" s="236"/>
      <c r="D91" s="236"/>
      <c r="E91" s="236"/>
      <c r="F91" s="236"/>
      <c r="G91" s="236"/>
      <c r="H91" s="236"/>
      <c r="I91" s="236"/>
      <c r="J91" s="236"/>
      <c r="K91" s="236"/>
      <c r="L91" s="236"/>
      <c r="M91" s="5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customHeight="1" x14ac:dyDescent="0.25">
      <c r="A92" s="8" t="s">
        <v>140</v>
      </c>
      <c r="B92" s="57"/>
      <c r="C92" s="57"/>
      <c r="D92" s="57"/>
      <c r="E92" s="70"/>
      <c r="F92" s="79"/>
      <c r="G92" s="66"/>
      <c r="H92" s="54"/>
      <c r="I92" s="54"/>
      <c r="J92" s="54"/>
      <c r="K92" s="54"/>
      <c r="L92" s="54"/>
      <c r="M92" s="5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x14ac:dyDescent="0.25">
      <c r="A93" s="10" t="s">
        <v>131</v>
      </c>
      <c r="B93" s="57"/>
      <c r="C93" s="57"/>
      <c r="D93" s="57"/>
      <c r="E93" s="70"/>
      <c r="F93" s="79"/>
      <c r="G93" s="66"/>
      <c r="H93" s="54"/>
      <c r="I93" s="54"/>
      <c r="J93" s="54"/>
      <c r="K93" s="54"/>
      <c r="L93" s="54"/>
      <c r="M93" s="5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 thickBot="1" x14ac:dyDescent="0.3">
      <c r="A94" s="6">
        <v>44249</v>
      </c>
      <c r="B94" s="55">
        <v>2405.7600000000002</v>
      </c>
      <c r="C94" s="55">
        <v>38.619999999999997</v>
      </c>
      <c r="D94" s="55"/>
      <c r="E94" s="67"/>
      <c r="F94" s="68"/>
      <c r="G94" s="69">
        <f>SUM(B94:F94)</f>
        <v>2444.38</v>
      </c>
      <c r="H94" s="56">
        <v>216.05</v>
      </c>
      <c r="I94" s="56"/>
      <c r="J94" s="56">
        <f>60+2.2+118.73+26.71</f>
        <v>207.64000000000001</v>
      </c>
      <c r="K94" s="56">
        <f>H94+I94+J94</f>
        <v>423.69000000000005</v>
      </c>
      <c r="L94" s="56">
        <f>G94-K94</f>
        <v>2020.69</v>
      </c>
      <c r="M94" s="5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thickTop="1" x14ac:dyDescent="0.25">
      <c r="A95" s="28" t="s">
        <v>141</v>
      </c>
      <c r="B95" s="235"/>
      <c r="C95" s="236"/>
      <c r="D95" s="236"/>
      <c r="E95" s="236"/>
      <c r="F95" s="236"/>
      <c r="G95" s="236"/>
      <c r="H95" s="236"/>
      <c r="I95" s="236"/>
      <c r="J95" s="236"/>
      <c r="K95" s="236"/>
      <c r="L95" s="236"/>
      <c r="M95" s="5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 x14ac:dyDescent="0.25">
      <c r="A96" s="8" t="s">
        <v>142</v>
      </c>
      <c r="B96" s="57"/>
      <c r="C96" s="57"/>
      <c r="D96" s="57"/>
      <c r="E96" s="70"/>
      <c r="F96" s="79"/>
      <c r="G96" s="66"/>
      <c r="H96" s="54"/>
      <c r="I96" s="54"/>
      <c r="J96" s="54"/>
      <c r="K96" s="54"/>
      <c r="L96" s="54"/>
      <c r="M96" s="5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x14ac:dyDescent="0.25">
      <c r="A97" s="10" t="s">
        <v>131</v>
      </c>
      <c r="B97" s="57"/>
      <c r="C97" s="57"/>
      <c r="D97" s="57"/>
      <c r="E97" s="70"/>
      <c r="F97" s="79"/>
      <c r="G97" s="66"/>
      <c r="H97" s="54"/>
      <c r="I97" s="54"/>
      <c r="J97" s="54"/>
      <c r="K97" s="54"/>
      <c r="L97" s="54"/>
      <c r="M97" s="5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thickBot="1" x14ac:dyDescent="0.3">
      <c r="A98" s="6">
        <v>44249</v>
      </c>
      <c r="B98" s="55">
        <v>2405.7600000000002</v>
      </c>
      <c r="C98" s="55">
        <v>38.619999999999997</v>
      </c>
      <c r="D98" s="55"/>
      <c r="E98" s="67"/>
      <c r="F98" s="68">
        <v>1183</v>
      </c>
      <c r="G98" s="69">
        <f>SUM(B98:F98)</f>
        <v>3627.38</v>
      </c>
      <c r="H98" s="56">
        <v>216.05</v>
      </c>
      <c r="I98" s="56">
        <v>24.32</v>
      </c>
      <c r="J98" s="56">
        <f>60+2.09</f>
        <v>62.09</v>
      </c>
      <c r="K98" s="56">
        <f>H98+I98+J98</f>
        <v>302.46000000000004</v>
      </c>
      <c r="L98" s="56">
        <f>G98-K98</f>
        <v>3324.92</v>
      </c>
      <c r="M98" s="5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4.25" customHeight="1" thickTop="1" x14ac:dyDescent="0.2">
      <c r="B99" s="62"/>
      <c r="C99" s="62"/>
      <c r="D99" s="62"/>
      <c r="E99" s="80"/>
      <c r="F99" s="80"/>
      <c r="G99" s="80"/>
      <c r="H99" s="62"/>
      <c r="I99" s="62"/>
      <c r="J99" s="62"/>
      <c r="K99" s="62"/>
      <c r="L99" s="62"/>
    </row>
    <row r="100" spans="1:32" ht="14.25" customHeight="1" x14ac:dyDescent="0.2">
      <c r="B100" s="62"/>
      <c r="C100" s="62"/>
      <c r="D100" s="62"/>
      <c r="E100" s="80"/>
      <c r="F100" s="80"/>
      <c r="G100" s="80"/>
      <c r="H100" s="62"/>
      <c r="I100" s="62"/>
      <c r="J100" s="62"/>
      <c r="K100" s="62"/>
      <c r="L100" s="62"/>
    </row>
    <row r="101" spans="1:32" ht="15" customHeight="1" x14ac:dyDescent="0.2">
      <c r="B101" s="63"/>
      <c r="C101" s="63"/>
      <c r="D101" s="63"/>
      <c r="E101" s="81"/>
      <c r="F101" s="81"/>
      <c r="G101" s="81"/>
      <c r="H101" s="63"/>
      <c r="I101" s="63"/>
      <c r="J101" s="63"/>
      <c r="K101" s="63"/>
      <c r="L101" s="63"/>
    </row>
    <row r="102" spans="1:32" ht="15" customHeight="1" x14ac:dyDescent="0.2">
      <c r="B102" s="63"/>
      <c r="C102" s="63"/>
      <c r="D102" s="63"/>
      <c r="E102" s="81"/>
      <c r="F102" s="81"/>
      <c r="G102" s="81"/>
      <c r="H102" s="63"/>
      <c r="I102" s="63"/>
      <c r="J102" s="63"/>
      <c r="K102" s="63"/>
      <c r="L102" s="63"/>
    </row>
    <row r="103" spans="1:32" ht="15" customHeight="1" x14ac:dyDescent="0.2">
      <c r="B103" s="63"/>
      <c r="C103" s="63"/>
      <c r="D103" s="63"/>
      <c r="E103" s="81"/>
      <c r="F103" s="81"/>
      <c r="G103" s="81"/>
      <c r="H103" s="63"/>
      <c r="I103" s="63"/>
      <c r="J103" s="63"/>
      <c r="K103" s="63"/>
      <c r="L103" s="63"/>
    </row>
    <row r="104" spans="1:32" ht="15" customHeight="1" x14ac:dyDescent="0.2">
      <c r="B104" s="63"/>
      <c r="C104" s="63"/>
      <c r="D104" s="63"/>
      <c r="E104" s="81"/>
      <c r="F104" s="81"/>
      <c r="G104" s="81"/>
      <c r="H104" s="63"/>
      <c r="I104" s="63"/>
      <c r="J104" s="63"/>
      <c r="K104" s="63"/>
      <c r="L104" s="63"/>
    </row>
    <row r="105" spans="1:32" ht="15" customHeight="1" x14ac:dyDescent="0.2">
      <c r="B105" s="63"/>
      <c r="C105" s="63"/>
      <c r="D105" s="63"/>
      <c r="E105" s="81"/>
      <c r="F105" s="81"/>
      <c r="G105" s="81"/>
      <c r="H105" s="63"/>
      <c r="I105" s="63"/>
      <c r="J105" s="63"/>
      <c r="K105" s="63"/>
      <c r="L105" s="63"/>
    </row>
    <row r="106" spans="1:32" ht="15" customHeight="1" x14ac:dyDescent="0.2">
      <c r="B106" s="63"/>
      <c r="C106" s="63"/>
      <c r="D106" s="63"/>
      <c r="E106" s="81"/>
      <c r="F106" s="81"/>
      <c r="G106" s="81"/>
      <c r="H106" s="63"/>
      <c r="I106" s="63"/>
      <c r="J106" s="63"/>
      <c r="K106" s="63"/>
      <c r="L106" s="63"/>
    </row>
    <row r="107" spans="1:32" ht="15" customHeight="1" x14ac:dyDescent="0.2">
      <c r="B107" s="63"/>
      <c r="C107" s="63"/>
      <c r="D107" s="63"/>
      <c r="E107" s="81"/>
      <c r="F107" s="81"/>
      <c r="G107" s="81"/>
      <c r="H107" s="63"/>
      <c r="I107" s="63"/>
      <c r="J107" s="63"/>
      <c r="K107" s="63"/>
      <c r="L107" s="63"/>
    </row>
    <row r="108" spans="1:32" ht="15" customHeight="1" x14ac:dyDescent="0.2">
      <c r="B108" s="63"/>
      <c r="C108" s="63"/>
      <c r="D108" s="63"/>
      <c r="E108" s="81"/>
      <c r="F108" s="81"/>
      <c r="G108" s="81"/>
      <c r="H108" s="63"/>
      <c r="I108" s="63"/>
      <c r="J108" s="63"/>
      <c r="K108" s="63"/>
      <c r="L108" s="63"/>
    </row>
    <row r="109" spans="1:32" ht="15" customHeight="1" x14ac:dyDescent="0.2">
      <c r="B109" s="63"/>
      <c r="C109" s="63"/>
      <c r="D109" s="63"/>
      <c r="E109" s="81"/>
      <c r="F109" s="81"/>
      <c r="G109" s="81"/>
      <c r="H109" s="63"/>
      <c r="I109" s="63"/>
      <c r="J109" s="63"/>
      <c r="K109" s="63"/>
      <c r="L109" s="63"/>
    </row>
    <row r="110" spans="1:32" ht="15" customHeight="1" x14ac:dyDescent="0.2">
      <c r="B110" s="63"/>
      <c r="C110" s="63"/>
      <c r="D110" s="63"/>
      <c r="E110" s="81"/>
      <c r="F110" s="81"/>
      <c r="G110" s="81"/>
      <c r="H110" s="63"/>
      <c r="I110" s="63"/>
      <c r="J110" s="63"/>
      <c r="K110" s="63"/>
      <c r="L110" s="63"/>
    </row>
    <row r="111" spans="1:32" ht="15" customHeight="1" x14ac:dyDescent="0.2">
      <c r="B111" s="63"/>
      <c r="C111" s="63"/>
      <c r="D111" s="63"/>
      <c r="E111" s="81"/>
      <c r="F111" s="81"/>
      <c r="G111" s="81"/>
      <c r="H111" s="63"/>
      <c r="I111" s="63"/>
      <c r="J111" s="63"/>
      <c r="K111" s="63"/>
      <c r="L111" s="63"/>
    </row>
    <row r="112" spans="1:32" ht="15" customHeight="1" x14ac:dyDescent="0.2">
      <c r="B112" s="63"/>
      <c r="C112" s="63"/>
      <c r="D112" s="63"/>
      <c r="E112" s="81"/>
      <c r="F112" s="81"/>
      <c r="G112" s="81"/>
      <c r="H112" s="63"/>
      <c r="I112" s="63"/>
      <c r="J112" s="63"/>
      <c r="K112" s="63"/>
      <c r="L112" s="63"/>
    </row>
    <row r="113" spans="1:32" ht="15" customHeight="1" x14ac:dyDescent="0.2">
      <c r="B113" s="63"/>
      <c r="C113" s="63"/>
      <c r="D113" s="63"/>
      <c r="E113" s="81"/>
      <c r="F113" s="81"/>
      <c r="G113" s="81"/>
      <c r="H113" s="63"/>
      <c r="I113" s="63"/>
      <c r="J113" s="63"/>
      <c r="K113" s="63"/>
      <c r="L113" s="63"/>
    </row>
    <row r="114" spans="1:32" ht="15" customHeight="1" x14ac:dyDescent="0.2">
      <c r="B114" s="63"/>
      <c r="C114" s="63"/>
      <c r="D114" s="63"/>
      <c r="E114" s="81"/>
      <c r="F114" s="81"/>
      <c r="G114" s="81"/>
      <c r="H114" s="63"/>
      <c r="I114" s="63"/>
      <c r="J114" s="63"/>
      <c r="K114" s="63"/>
      <c r="L114" s="63"/>
    </row>
    <row r="115" spans="1:32" ht="15.75" customHeight="1" x14ac:dyDescent="0.25">
      <c r="A115" s="1"/>
      <c r="B115" s="60"/>
      <c r="C115" s="60"/>
      <c r="D115" s="60"/>
      <c r="E115" s="76"/>
      <c r="F115" s="76"/>
      <c r="G115" s="76"/>
      <c r="H115" s="60"/>
      <c r="I115" s="60"/>
      <c r="J115" s="60"/>
      <c r="K115" s="60"/>
      <c r="L115" s="6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 x14ac:dyDescent="0.25">
      <c r="A116" s="1"/>
      <c r="B116" s="60"/>
      <c r="C116" s="60"/>
      <c r="D116" s="60"/>
      <c r="E116" s="76"/>
      <c r="F116" s="76"/>
      <c r="G116" s="76"/>
      <c r="H116" s="60"/>
      <c r="I116" s="60"/>
      <c r="J116" s="60"/>
      <c r="K116" s="60"/>
      <c r="L116" s="60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 x14ac:dyDescent="0.25">
      <c r="A117" s="1"/>
      <c r="B117" s="60"/>
      <c r="C117" s="60"/>
      <c r="D117" s="60"/>
      <c r="E117" s="76"/>
      <c r="F117" s="76"/>
      <c r="G117" s="76"/>
      <c r="H117" s="60"/>
      <c r="I117" s="60"/>
      <c r="J117" s="60"/>
      <c r="K117" s="60"/>
      <c r="L117" s="60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 x14ac:dyDescent="0.25">
      <c r="A118" s="1"/>
      <c r="B118" s="60"/>
      <c r="C118" s="60"/>
      <c r="D118" s="60"/>
      <c r="E118" s="76"/>
      <c r="F118" s="76"/>
      <c r="G118" s="76"/>
      <c r="H118" s="60"/>
      <c r="I118" s="60"/>
      <c r="J118" s="60"/>
      <c r="K118" s="60"/>
      <c r="L118" s="6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 x14ac:dyDescent="0.25">
      <c r="A119" s="1"/>
      <c r="B119" s="60"/>
      <c r="C119" s="60"/>
      <c r="D119" s="60"/>
      <c r="E119" s="76"/>
      <c r="F119" s="76"/>
      <c r="G119" s="76"/>
      <c r="H119" s="60"/>
      <c r="I119" s="60"/>
      <c r="J119" s="60"/>
      <c r="K119" s="60"/>
      <c r="L119" s="60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 x14ac:dyDescent="0.25">
      <c r="A120" s="1"/>
      <c r="B120" s="60"/>
      <c r="C120" s="60"/>
      <c r="D120" s="60"/>
      <c r="E120" s="76"/>
      <c r="F120" s="76"/>
      <c r="G120" s="76"/>
      <c r="H120" s="60"/>
      <c r="I120" s="60"/>
      <c r="J120" s="60"/>
      <c r="K120" s="60"/>
      <c r="L120" s="6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 x14ac:dyDescent="0.25">
      <c r="A121" s="1"/>
      <c r="B121" s="60"/>
      <c r="C121" s="60"/>
      <c r="D121" s="60"/>
      <c r="E121" s="76"/>
      <c r="F121" s="76"/>
      <c r="G121" s="76"/>
      <c r="H121" s="60"/>
      <c r="I121" s="60"/>
      <c r="J121" s="60"/>
      <c r="K121" s="60"/>
      <c r="L121" s="64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60"/>
      <c r="C122" s="60"/>
      <c r="D122" s="60"/>
      <c r="E122" s="76"/>
      <c r="F122" s="76"/>
      <c r="G122" s="76"/>
      <c r="H122" s="60"/>
      <c r="I122" s="60"/>
      <c r="J122" s="60"/>
      <c r="K122" s="60"/>
      <c r="L122" s="6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60"/>
      <c r="C123" s="60"/>
      <c r="D123" s="60"/>
      <c r="E123" s="76"/>
      <c r="F123" s="76"/>
      <c r="G123" s="76"/>
      <c r="H123" s="60"/>
      <c r="I123" s="60"/>
      <c r="J123" s="60"/>
      <c r="K123" s="60"/>
      <c r="L123" s="6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60"/>
      <c r="C124" s="60"/>
      <c r="D124" s="60"/>
      <c r="E124" s="76"/>
      <c r="F124" s="76"/>
      <c r="G124" s="76"/>
      <c r="H124" s="60"/>
      <c r="I124" s="60"/>
      <c r="J124" s="60"/>
      <c r="K124" s="60"/>
      <c r="L124" s="6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60"/>
      <c r="C125" s="60"/>
      <c r="D125" s="60"/>
      <c r="E125" s="76"/>
      <c r="F125" s="76"/>
      <c r="G125" s="76"/>
      <c r="H125" s="60"/>
      <c r="I125" s="60"/>
      <c r="J125" s="60"/>
      <c r="K125" s="60"/>
      <c r="L125" s="6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60"/>
      <c r="C126" s="60"/>
      <c r="D126" s="60"/>
      <c r="E126" s="76"/>
      <c r="F126" s="76"/>
      <c r="G126" s="76"/>
      <c r="H126" s="60"/>
      <c r="I126" s="60"/>
      <c r="J126" s="60"/>
      <c r="K126" s="60"/>
      <c r="L126" s="6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60"/>
      <c r="C127" s="60"/>
      <c r="D127" s="60"/>
      <c r="E127" s="76"/>
      <c r="F127" s="76"/>
      <c r="G127" s="76"/>
      <c r="H127" s="60"/>
      <c r="I127" s="60"/>
      <c r="J127" s="60"/>
      <c r="K127" s="60"/>
      <c r="L127" s="60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60"/>
      <c r="C128" s="60"/>
      <c r="D128" s="60"/>
      <c r="E128" s="76"/>
      <c r="F128" s="76"/>
      <c r="G128" s="76"/>
      <c r="H128" s="60"/>
      <c r="I128" s="60"/>
      <c r="J128" s="60"/>
      <c r="K128" s="60"/>
      <c r="L128" s="6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60"/>
      <c r="C129" s="60"/>
      <c r="D129" s="60"/>
      <c r="E129" s="76"/>
      <c r="F129" s="76"/>
      <c r="G129" s="76"/>
      <c r="H129" s="60"/>
      <c r="I129" s="60"/>
      <c r="J129" s="60"/>
      <c r="K129" s="60"/>
      <c r="L129" s="6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60"/>
      <c r="C130" s="60"/>
      <c r="D130" s="60"/>
      <c r="E130" s="76"/>
      <c r="F130" s="76"/>
      <c r="G130" s="76"/>
      <c r="H130" s="60"/>
      <c r="I130" s="60"/>
      <c r="J130" s="60"/>
      <c r="K130" s="60"/>
      <c r="L130" s="6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60"/>
      <c r="C131" s="60"/>
      <c r="D131" s="60"/>
      <c r="E131" s="76"/>
      <c r="F131" s="76"/>
      <c r="G131" s="76"/>
      <c r="H131" s="60"/>
      <c r="I131" s="60"/>
      <c r="J131" s="60"/>
      <c r="K131" s="60"/>
      <c r="L131" s="6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60"/>
      <c r="C132" s="60"/>
      <c r="D132" s="60"/>
      <c r="E132" s="76"/>
      <c r="F132" s="76"/>
      <c r="G132" s="76"/>
      <c r="H132" s="60"/>
      <c r="I132" s="60"/>
      <c r="J132" s="60"/>
      <c r="K132" s="60"/>
      <c r="L132" s="6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60"/>
      <c r="C133" s="60"/>
      <c r="D133" s="60"/>
      <c r="E133" s="76"/>
      <c r="F133" s="76"/>
      <c r="G133" s="76"/>
      <c r="H133" s="60"/>
      <c r="I133" s="60"/>
      <c r="J133" s="60"/>
      <c r="K133" s="60"/>
      <c r="L133" s="6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60"/>
      <c r="C134" s="60"/>
      <c r="D134" s="60"/>
      <c r="E134" s="76"/>
      <c r="F134" s="76"/>
      <c r="G134" s="76"/>
      <c r="H134" s="60"/>
      <c r="I134" s="60"/>
      <c r="J134" s="60"/>
      <c r="K134" s="60"/>
      <c r="L134" s="60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60"/>
      <c r="C135" s="60"/>
      <c r="D135" s="60"/>
      <c r="E135" s="76"/>
      <c r="F135" s="76"/>
      <c r="G135" s="76"/>
      <c r="H135" s="60"/>
      <c r="I135" s="60"/>
      <c r="J135" s="60"/>
      <c r="K135" s="60"/>
      <c r="L135" s="6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60"/>
      <c r="C136" s="60"/>
      <c r="D136" s="60"/>
      <c r="E136" s="76"/>
      <c r="F136" s="76"/>
      <c r="G136" s="76"/>
      <c r="H136" s="60"/>
      <c r="I136" s="60"/>
      <c r="J136" s="60"/>
      <c r="K136" s="60"/>
      <c r="L136" s="6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60"/>
      <c r="C137" s="60"/>
      <c r="D137" s="60"/>
      <c r="E137" s="76"/>
      <c r="F137" s="76"/>
      <c r="G137" s="76"/>
      <c r="H137" s="60"/>
      <c r="I137" s="60"/>
      <c r="J137" s="60"/>
      <c r="K137" s="60"/>
      <c r="L137" s="6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60"/>
      <c r="C138" s="60"/>
      <c r="D138" s="60"/>
      <c r="E138" s="76"/>
      <c r="F138" s="76"/>
      <c r="G138" s="76"/>
      <c r="H138" s="60"/>
      <c r="I138" s="60"/>
      <c r="J138" s="60"/>
      <c r="K138" s="60"/>
      <c r="L138" s="60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25">
      <c r="A139" s="1"/>
      <c r="B139" s="60"/>
      <c r="C139" s="60"/>
      <c r="D139" s="60"/>
      <c r="E139" s="76"/>
      <c r="F139" s="76"/>
      <c r="G139" s="76"/>
      <c r="H139" s="60"/>
      <c r="I139" s="60"/>
      <c r="J139" s="60"/>
      <c r="K139" s="60"/>
      <c r="L139" s="60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25">
      <c r="A140" s="1"/>
      <c r="B140" s="60"/>
      <c r="C140" s="60"/>
      <c r="D140" s="60"/>
      <c r="E140" s="76"/>
      <c r="F140" s="76"/>
      <c r="G140" s="76"/>
      <c r="H140" s="60"/>
      <c r="I140" s="60"/>
      <c r="J140" s="60"/>
      <c r="K140" s="60"/>
      <c r="L140" s="60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25">
      <c r="A141" s="1"/>
      <c r="B141" s="60"/>
      <c r="C141" s="60"/>
      <c r="D141" s="60"/>
      <c r="E141" s="76"/>
      <c r="F141" s="76"/>
      <c r="G141" s="76"/>
      <c r="H141" s="60"/>
      <c r="I141" s="60"/>
      <c r="J141" s="60"/>
      <c r="K141" s="60"/>
      <c r="L141" s="6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25">
      <c r="A142" s="1"/>
      <c r="B142" s="60"/>
      <c r="C142" s="60"/>
      <c r="D142" s="60"/>
      <c r="E142" s="76"/>
      <c r="F142" s="76"/>
      <c r="G142" s="76"/>
      <c r="H142" s="60"/>
      <c r="I142" s="60"/>
      <c r="J142" s="60"/>
      <c r="K142" s="60"/>
      <c r="L142" s="6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25">
      <c r="A143" s="1"/>
      <c r="B143" s="60"/>
      <c r="C143" s="60"/>
      <c r="D143" s="60"/>
      <c r="E143" s="76"/>
      <c r="F143" s="76"/>
      <c r="G143" s="76"/>
      <c r="H143" s="60"/>
      <c r="I143" s="60"/>
      <c r="J143" s="60"/>
      <c r="K143" s="60"/>
      <c r="L143" s="60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25">
      <c r="A144" s="1"/>
      <c r="B144" s="60"/>
      <c r="C144" s="60"/>
      <c r="D144" s="60"/>
      <c r="E144" s="76"/>
      <c r="F144" s="76"/>
      <c r="G144" s="76"/>
      <c r="H144" s="60"/>
      <c r="I144" s="60"/>
      <c r="J144" s="60"/>
      <c r="K144" s="60"/>
      <c r="L144" s="60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25">
      <c r="A145" s="1"/>
      <c r="B145" s="60"/>
      <c r="C145" s="60"/>
      <c r="D145" s="60"/>
      <c r="E145" s="76"/>
      <c r="F145" s="76"/>
      <c r="G145" s="76"/>
      <c r="H145" s="60"/>
      <c r="I145" s="60"/>
      <c r="J145" s="60"/>
      <c r="K145" s="60"/>
      <c r="L145" s="60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25">
      <c r="A146" s="1"/>
      <c r="B146" s="60"/>
      <c r="C146" s="60"/>
      <c r="D146" s="60"/>
      <c r="E146" s="76"/>
      <c r="F146" s="76"/>
      <c r="G146" s="76"/>
      <c r="H146" s="60"/>
      <c r="I146" s="60"/>
      <c r="J146" s="60"/>
      <c r="K146" s="60"/>
      <c r="L146" s="6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25">
      <c r="A147" s="1"/>
      <c r="B147" s="60"/>
      <c r="C147" s="60"/>
      <c r="D147" s="60"/>
      <c r="E147" s="76"/>
      <c r="F147" s="76"/>
      <c r="G147" s="76"/>
      <c r="H147" s="60"/>
      <c r="I147" s="60"/>
      <c r="J147" s="60"/>
      <c r="K147" s="60"/>
      <c r="L147" s="6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25">
      <c r="A148" s="1"/>
      <c r="B148" s="60"/>
      <c r="C148" s="60"/>
      <c r="D148" s="60"/>
      <c r="E148" s="76"/>
      <c r="F148" s="76"/>
      <c r="G148" s="76"/>
      <c r="H148" s="60"/>
      <c r="I148" s="60"/>
      <c r="J148" s="60"/>
      <c r="K148" s="60"/>
      <c r="L148" s="60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25">
      <c r="A149" s="1"/>
      <c r="B149" s="60"/>
      <c r="C149" s="60"/>
      <c r="D149" s="60"/>
      <c r="E149" s="76"/>
      <c r="F149" s="76"/>
      <c r="G149" s="76"/>
      <c r="H149" s="60"/>
      <c r="I149" s="60"/>
      <c r="J149" s="60"/>
      <c r="K149" s="60"/>
      <c r="L149" s="60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25">
      <c r="A150" s="1"/>
      <c r="B150" s="60"/>
      <c r="C150" s="60"/>
      <c r="D150" s="60"/>
      <c r="E150" s="76"/>
      <c r="F150" s="76"/>
      <c r="G150" s="76"/>
      <c r="H150" s="60"/>
      <c r="I150" s="60"/>
      <c r="J150" s="60"/>
      <c r="K150" s="60"/>
      <c r="L150" s="60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25">
      <c r="A151" s="1"/>
      <c r="B151" s="60"/>
      <c r="C151" s="60"/>
      <c r="D151" s="60"/>
      <c r="E151" s="76"/>
      <c r="F151" s="76"/>
      <c r="G151" s="76"/>
      <c r="H151" s="60"/>
      <c r="I151" s="60"/>
      <c r="J151" s="60"/>
      <c r="K151" s="60"/>
      <c r="L151" s="60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25">
      <c r="A152" s="1"/>
      <c r="B152" s="60"/>
      <c r="C152" s="60"/>
      <c r="D152" s="60"/>
      <c r="E152" s="76"/>
      <c r="F152" s="76"/>
      <c r="G152" s="76"/>
      <c r="H152" s="60"/>
      <c r="I152" s="60"/>
      <c r="J152" s="60"/>
      <c r="K152" s="60"/>
      <c r="L152" s="6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25">
      <c r="A153" s="1"/>
      <c r="B153" s="60"/>
      <c r="C153" s="60"/>
      <c r="D153" s="60"/>
      <c r="E153" s="76"/>
      <c r="F153" s="76"/>
      <c r="G153" s="76"/>
      <c r="H153" s="60"/>
      <c r="I153" s="60"/>
      <c r="J153" s="60"/>
      <c r="K153" s="60"/>
      <c r="L153" s="60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25">
      <c r="A154" s="1"/>
      <c r="B154" s="60"/>
      <c r="C154" s="60"/>
      <c r="D154" s="60"/>
      <c r="E154" s="76"/>
      <c r="F154" s="76"/>
      <c r="G154" s="76"/>
      <c r="H154" s="60"/>
      <c r="I154" s="60"/>
      <c r="J154" s="60"/>
      <c r="K154" s="60"/>
      <c r="L154" s="60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25">
      <c r="A155" s="1"/>
      <c r="B155" s="60"/>
      <c r="C155" s="60"/>
      <c r="D155" s="60"/>
      <c r="E155" s="76"/>
      <c r="F155" s="76"/>
      <c r="G155" s="76"/>
      <c r="H155" s="60"/>
      <c r="I155" s="60"/>
      <c r="J155" s="60"/>
      <c r="K155" s="60"/>
      <c r="L155" s="60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25">
      <c r="A156" s="1"/>
      <c r="B156" s="60"/>
      <c r="C156" s="60"/>
      <c r="D156" s="60"/>
      <c r="E156" s="76"/>
      <c r="F156" s="76"/>
      <c r="G156" s="76"/>
      <c r="H156" s="60"/>
      <c r="I156" s="60"/>
      <c r="J156" s="60"/>
      <c r="K156" s="60"/>
      <c r="L156" s="60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25">
      <c r="A157" s="1"/>
      <c r="B157" s="60"/>
      <c r="C157" s="60"/>
      <c r="D157" s="60"/>
      <c r="E157" s="76"/>
      <c r="F157" s="76"/>
      <c r="G157" s="76"/>
      <c r="H157" s="60"/>
      <c r="I157" s="60"/>
      <c r="J157" s="60"/>
      <c r="K157" s="60"/>
      <c r="L157" s="60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25">
      <c r="A158" s="1"/>
      <c r="B158" s="60"/>
      <c r="C158" s="60"/>
      <c r="D158" s="60"/>
      <c r="E158" s="76"/>
      <c r="F158" s="76"/>
      <c r="G158" s="76"/>
      <c r="H158" s="60"/>
      <c r="I158" s="60"/>
      <c r="J158" s="60"/>
      <c r="K158" s="60"/>
      <c r="L158" s="60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25">
      <c r="A159" s="1"/>
      <c r="B159" s="60"/>
      <c r="C159" s="60"/>
      <c r="D159" s="60"/>
      <c r="E159" s="76"/>
      <c r="F159" s="76"/>
      <c r="G159" s="76"/>
      <c r="H159" s="60"/>
      <c r="I159" s="60"/>
      <c r="J159" s="60"/>
      <c r="K159" s="60"/>
      <c r="L159" s="60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25">
      <c r="A160" s="1"/>
      <c r="B160" s="60"/>
      <c r="C160" s="60"/>
      <c r="D160" s="60"/>
      <c r="E160" s="76"/>
      <c r="F160" s="76"/>
      <c r="G160" s="76"/>
      <c r="H160" s="60"/>
      <c r="I160" s="60"/>
      <c r="J160" s="60"/>
      <c r="K160" s="60"/>
      <c r="L160" s="60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25">
      <c r="A161" s="1"/>
      <c r="B161" s="60"/>
      <c r="C161" s="60"/>
      <c r="D161" s="60"/>
      <c r="E161" s="76"/>
      <c r="F161" s="76"/>
      <c r="G161" s="76"/>
      <c r="H161" s="60"/>
      <c r="I161" s="60"/>
      <c r="J161" s="60"/>
      <c r="K161" s="60"/>
      <c r="L161" s="6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25">
      <c r="A162" s="1"/>
      <c r="B162" s="60"/>
      <c r="C162" s="60"/>
      <c r="D162" s="60"/>
      <c r="E162" s="76"/>
      <c r="F162" s="76"/>
      <c r="G162" s="76"/>
      <c r="H162" s="60"/>
      <c r="I162" s="60"/>
      <c r="J162" s="60"/>
      <c r="K162" s="60"/>
      <c r="L162" s="60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25">
      <c r="A163" s="1"/>
      <c r="B163" s="60"/>
      <c r="C163" s="60"/>
      <c r="D163" s="60"/>
      <c r="E163" s="76"/>
      <c r="F163" s="76"/>
      <c r="G163" s="76"/>
      <c r="H163" s="60"/>
      <c r="I163" s="60"/>
      <c r="J163" s="60"/>
      <c r="K163" s="60"/>
      <c r="L163" s="60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25">
      <c r="A164" s="1"/>
      <c r="B164" s="60"/>
      <c r="C164" s="60"/>
      <c r="D164" s="60"/>
      <c r="E164" s="76"/>
      <c r="F164" s="76"/>
      <c r="G164" s="76"/>
      <c r="H164" s="60"/>
      <c r="I164" s="60"/>
      <c r="J164" s="60"/>
      <c r="K164" s="60"/>
      <c r="L164" s="60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25">
      <c r="A165" s="1"/>
      <c r="B165" s="60"/>
      <c r="C165" s="60"/>
      <c r="D165" s="60"/>
      <c r="E165" s="76"/>
      <c r="F165" s="76"/>
      <c r="G165" s="76"/>
      <c r="H165" s="60"/>
      <c r="I165" s="60"/>
      <c r="J165" s="60"/>
      <c r="K165" s="60"/>
      <c r="L165" s="6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25">
      <c r="A166" s="1"/>
      <c r="B166" s="60"/>
      <c r="C166" s="60"/>
      <c r="D166" s="60"/>
      <c r="E166" s="76"/>
      <c r="F166" s="76"/>
      <c r="G166" s="76"/>
      <c r="H166" s="60"/>
      <c r="I166" s="60"/>
      <c r="J166" s="60"/>
      <c r="K166" s="60"/>
      <c r="L166" s="60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25">
      <c r="A167" s="1"/>
      <c r="B167" s="60"/>
      <c r="C167" s="60"/>
      <c r="D167" s="60"/>
      <c r="E167" s="76"/>
      <c r="F167" s="76"/>
      <c r="G167" s="76"/>
      <c r="H167" s="60"/>
      <c r="I167" s="60"/>
      <c r="J167" s="60"/>
      <c r="K167" s="60"/>
      <c r="L167" s="6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25">
      <c r="A168" s="1"/>
      <c r="B168" s="60"/>
      <c r="C168" s="60"/>
      <c r="D168" s="60"/>
      <c r="E168" s="76"/>
      <c r="F168" s="76"/>
      <c r="G168" s="76"/>
      <c r="H168" s="60"/>
      <c r="I168" s="60"/>
      <c r="J168" s="60"/>
      <c r="K168" s="60"/>
      <c r="L168" s="6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25">
      <c r="A169" s="1"/>
      <c r="B169" s="60"/>
      <c r="C169" s="60"/>
      <c r="D169" s="60"/>
      <c r="E169" s="76"/>
      <c r="F169" s="76"/>
      <c r="G169" s="76"/>
      <c r="H169" s="60"/>
      <c r="I169" s="60"/>
      <c r="J169" s="60"/>
      <c r="K169" s="60"/>
      <c r="L169" s="60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25">
      <c r="A170" s="1"/>
      <c r="B170" s="60"/>
      <c r="C170" s="60"/>
      <c r="D170" s="60"/>
      <c r="E170" s="76"/>
      <c r="F170" s="76"/>
      <c r="G170" s="76"/>
      <c r="H170" s="60"/>
      <c r="I170" s="60"/>
      <c r="J170" s="60"/>
      <c r="K170" s="60"/>
      <c r="L170" s="6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25">
      <c r="A171" s="1"/>
      <c r="B171" s="60"/>
      <c r="C171" s="60"/>
      <c r="D171" s="60"/>
      <c r="E171" s="76"/>
      <c r="F171" s="76"/>
      <c r="G171" s="76"/>
      <c r="H171" s="60"/>
      <c r="I171" s="60"/>
      <c r="J171" s="60"/>
      <c r="K171" s="60"/>
      <c r="L171" s="60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25">
      <c r="A172" s="1"/>
      <c r="B172" s="60"/>
      <c r="C172" s="60"/>
      <c r="D172" s="60"/>
      <c r="E172" s="76"/>
      <c r="F172" s="76"/>
      <c r="G172" s="76"/>
      <c r="H172" s="60"/>
      <c r="I172" s="60"/>
      <c r="J172" s="60"/>
      <c r="K172" s="60"/>
      <c r="L172" s="6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25">
      <c r="A173" s="1"/>
      <c r="B173" s="60"/>
      <c r="C173" s="60"/>
      <c r="D173" s="60"/>
      <c r="E173" s="76"/>
      <c r="F173" s="76"/>
      <c r="G173" s="76"/>
      <c r="H173" s="60"/>
      <c r="I173" s="60"/>
      <c r="J173" s="60"/>
      <c r="K173" s="60"/>
      <c r="L173" s="60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25">
      <c r="A174" s="1"/>
      <c r="B174" s="60"/>
      <c r="C174" s="60"/>
      <c r="D174" s="60"/>
      <c r="E174" s="76"/>
      <c r="F174" s="76"/>
      <c r="G174" s="76"/>
      <c r="H174" s="60"/>
      <c r="I174" s="60"/>
      <c r="J174" s="60"/>
      <c r="K174" s="60"/>
      <c r="L174" s="6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25">
      <c r="A175" s="1"/>
      <c r="B175" s="60"/>
      <c r="C175" s="60"/>
      <c r="D175" s="60"/>
      <c r="E175" s="76"/>
      <c r="F175" s="76"/>
      <c r="G175" s="76"/>
      <c r="H175" s="60"/>
      <c r="I175" s="60"/>
      <c r="J175" s="60"/>
      <c r="K175" s="60"/>
      <c r="L175" s="6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25">
      <c r="A176" s="1"/>
      <c r="B176" s="60"/>
      <c r="C176" s="60"/>
      <c r="D176" s="60"/>
      <c r="E176" s="76"/>
      <c r="F176" s="76"/>
      <c r="G176" s="76"/>
      <c r="H176" s="60"/>
      <c r="I176" s="60"/>
      <c r="J176" s="60"/>
      <c r="K176" s="60"/>
      <c r="L176" s="60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25">
      <c r="A177" s="1"/>
      <c r="B177" s="60"/>
      <c r="C177" s="60"/>
      <c r="D177" s="60"/>
      <c r="E177" s="76"/>
      <c r="F177" s="76"/>
      <c r="G177" s="76"/>
      <c r="H177" s="60"/>
      <c r="I177" s="60"/>
      <c r="J177" s="60"/>
      <c r="K177" s="60"/>
      <c r="L177" s="60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25">
      <c r="A178" s="1"/>
      <c r="B178" s="60"/>
      <c r="C178" s="60"/>
      <c r="D178" s="60"/>
      <c r="E178" s="76"/>
      <c r="F178" s="76"/>
      <c r="G178" s="76"/>
      <c r="H178" s="60"/>
      <c r="I178" s="60"/>
      <c r="J178" s="60"/>
      <c r="K178" s="60"/>
      <c r="L178" s="60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25">
      <c r="A179" s="1"/>
      <c r="B179" s="60"/>
      <c r="C179" s="60"/>
      <c r="D179" s="60"/>
      <c r="E179" s="76"/>
      <c r="F179" s="76"/>
      <c r="G179" s="76"/>
      <c r="H179" s="60"/>
      <c r="I179" s="60"/>
      <c r="J179" s="60"/>
      <c r="K179" s="60"/>
      <c r="L179" s="6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25">
      <c r="A180" s="1"/>
      <c r="B180" s="60"/>
      <c r="C180" s="60"/>
      <c r="D180" s="60"/>
      <c r="E180" s="76"/>
      <c r="F180" s="76"/>
      <c r="G180" s="76"/>
      <c r="H180" s="60"/>
      <c r="I180" s="60"/>
      <c r="J180" s="60"/>
      <c r="K180" s="60"/>
      <c r="L180" s="60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25">
      <c r="A181" s="1"/>
      <c r="B181" s="60"/>
      <c r="C181" s="60"/>
      <c r="D181" s="60"/>
      <c r="E181" s="76"/>
      <c r="F181" s="76"/>
      <c r="G181" s="76"/>
      <c r="H181" s="60"/>
      <c r="I181" s="60"/>
      <c r="J181" s="60"/>
      <c r="K181" s="60"/>
      <c r="L181" s="6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25">
      <c r="A182" s="1"/>
      <c r="B182" s="60"/>
      <c r="C182" s="60"/>
      <c r="D182" s="60"/>
      <c r="E182" s="76"/>
      <c r="F182" s="76"/>
      <c r="G182" s="76"/>
      <c r="H182" s="60"/>
      <c r="I182" s="60"/>
      <c r="J182" s="60"/>
      <c r="K182" s="60"/>
      <c r="L182" s="60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25">
      <c r="A183" s="1"/>
      <c r="B183" s="60"/>
      <c r="C183" s="60"/>
      <c r="D183" s="60"/>
      <c r="E183" s="76"/>
      <c r="F183" s="76"/>
      <c r="G183" s="76"/>
      <c r="H183" s="60"/>
      <c r="I183" s="60"/>
      <c r="J183" s="60"/>
      <c r="K183" s="60"/>
      <c r="L183" s="6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25">
      <c r="A184" s="1"/>
      <c r="B184" s="60"/>
      <c r="C184" s="60"/>
      <c r="D184" s="60"/>
      <c r="E184" s="76"/>
      <c r="F184" s="76"/>
      <c r="G184" s="76"/>
      <c r="H184" s="60"/>
      <c r="I184" s="60"/>
      <c r="J184" s="60"/>
      <c r="K184" s="60"/>
      <c r="L184" s="6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25">
      <c r="A185" s="1"/>
      <c r="B185" s="60"/>
      <c r="C185" s="60"/>
      <c r="D185" s="60"/>
      <c r="E185" s="76"/>
      <c r="F185" s="76"/>
      <c r="G185" s="76"/>
      <c r="H185" s="60"/>
      <c r="I185" s="60"/>
      <c r="J185" s="60"/>
      <c r="K185" s="60"/>
      <c r="L185" s="6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25">
      <c r="A186" s="1"/>
      <c r="B186" s="60"/>
      <c r="C186" s="60"/>
      <c r="D186" s="60"/>
      <c r="E186" s="76"/>
      <c r="F186" s="76"/>
      <c r="G186" s="76"/>
      <c r="H186" s="60"/>
      <c r="I186" s="60"/>
      <c r="J186" s="60"/>
      <c r="K186" s="60"/>
      <c r="L186" s="6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25">
      <c r="A187" s="1"/>
      <c r="B187" s="60"/>
      <c r="C187" s="60"/>
      <c r="D187" s="60"/>
      <c r="E187" s="76"/>
      <c r="F187" s="76"/>
      <c r="G187" s="76"/>
      <c r="H187" s="60"/>
      <c r="I187" s="60"/>
      <c r="J187" s="60"/>
      <c r="K187" s="60"/>
      <c r="L187" s="60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25">
      <c r="A188" s="1"/>
      <c r="B188" s="60"/>
      <c r="C188" s="60"/>
      <c r="D188" s="60"/>
      <c r="E188" s="76"/>
      <c r="F188" s="76"/>
      <c r="G188" s="76"/>
      <c r="H188" s="60"/>
      <c r="I188" s="60"/>
      <c r="J188" s="60"/>
      <c r="K188" s="60"/>
      <c r="L188" s="6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25">
      <c r="A189" s="1"/>
      <c r="B189" s="60"/>
      <c r="C189" s="60"/>
      <c r="D189" s="60"/>
      <c r="E189" s="76"/>
      <c r="F189" s="76"/>
      <c r="G189" s="76"/>
      <c r="H189" s="60"/>
      <c r="I189" s="60"/>
      <c r="J189" s="60"/>
      <c r="K189" s="60"/>
      <c r="L189" s="6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25">
      <c r="A190" s="1"/>
      <c r="B190" s="60"/>
      <c r="C190" s="60"/>
      <c r="D190" s="60"/>
      <c r="E190" s="76"/>
      <c r="F190" s="76"/>
      <c r="G190" s="76"/>
      <c r="H190" s="60"/>
      <c r="I190" s="60"/>
      <c r="J190" s="60"/>
      <c r="K190" s="60"/>
      <c r="L190" s="6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25">
      <c r="A191" s="1"/>
      <c r="B191" s="60"/>
      <c r="C191" s="60"/>
      <c r="D191" s="60"/>
      <c r="E191" s="76"/>
      <c r="F191" s="76"/>
      <c r="G191" s="76"/>
      <c r="H191" s="60"/>
      <c r="I191" s="60"/>
      <c r="J191" s="60"/>
      <c r="K191" s="60"/>
      <c r="L191" s="60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25">
      <c r="A192" s="1"/>
      <c r="B192" s="60"/>
      <c r="C192" s="60"/>
      <c r="D192" s="60"/>
      <c r="E192" s="76"/>
      <c r="F192" s="76"/>
      <c r="G192" s="76"/>
      <c r="H192" s="60"/>
      <c r="I192" s="60"/>
      <c r="J192" s="60"/>
      <c r="K192" s="60"/>
      <c r="L192" s="6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25">
      <c r="A193" s="1"/>
      <c r="B193" s="60"/>
      <c r="C193" s="60"/>
      <c r="D193" s="60"/>
      <c r="E193" s="76"/>
      <c r="F193" s="76"/>
      <c r="G193" s="76"/>
      <c r="H193" s="60"/>
      <c r="I193" s="60"/>
      <c r="J193" s="60"/>
      <c r="K193" s="60"/>
      <c r="L193" s="6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25">
      <c r="A194" s="1"/>
      <c r="B194" s="60"/>
      <c r="C194" s="60"/>
      <c r="D194" s="60"/>
      <c r="E194" s="76"/>
      <c r="F194" s="76"/>
      <c r="G194" s="76"/>
      <c r="H194" s="60"/>
      <c r="I194" s="60"/>
      <c r="J194" s="60"/>
      <c r="K194" s="60"/>
      <c r="L194" s="6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25">
      <c r="A195" s="1"/>
      <c r="B195" s="60"/>
      <c r="C195" s="60"/>
      <c r="D195" s="60"/>
      <c r="E195" s="76"/>
      <c r="F195" s="76"/>
      <c r="G195" s="76"/>
      <c r="H195" s="60"/>
      <c r="I195" s="60"/>
      <c r="J195" s="60"/>
      <c r="K195" s="60"/>
      <c r="L195" s="6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25">
      <c r="A196" s="1"/>
      <c r="B196" s="60"/>
      <c r="C196" s="60"/>
      <c r="D196" s="60"/>
      <c r="E196" s="76"/>
      <c r="F196" s="76"/>
      <c r="G196" s="76"/>
      <c r="H196" s="60"/>
      <c r="I196" s="60"/>
      <c r="J196" s="60"/>
      <c r="K196" s="60"/>
      <c r="L196" s="6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25">
      <c r="A197" s="1"/>
      <c r="B197" s="60"/>
      <c r="C197" s="60"/>
      <c r="D197" s="60"/>
      <c r="E197" s="76"/>
      <c r="F197" s="76"/>
      <c r="G197" s="76"/>
      <c r="H197" s="60"/>
      <c r="I197" s="60"/>
      <c r="J197" s="60"/>
      <c r="K197" s="60"/>
      <c r="L197" s="60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25">
      <c r="A198" s="1"/>
      <c r="B198" s="60"/>
      <c r="C198" s="60"/>
      <c r="D198" s="60"/>
      <c r="E198" s="76"/>
      <c r="F198" s="76"/>
      <c r="G198" s="76"/>
      <c r="H198" s="60"/>
      <c r="I198" s="60"/>
      <c r="J198" s="60"/>
      <c r="K198" s="60"/>
      <c r="L198" s="60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4.25" customHeight="1" x14ac:dyDescent="0.2"/>
    <row r="313" spans="1:32" ht="14.25" customHeight="1" x14ac:dyDescent="0.2"/>
    <row r="314" spans="1:32" ht="14.25" customHeight="1" x14ac:dyDescent="0.2"/>
    <row r="315" spans="1:32" ht="14.25" customHeight="1" x14ac:dyDescent="0.2"/>
    <row r="316" spans="1:32" ht="14.25" customHeight="1" x14ac:dyDescent="0.2"/>
    <row r="317" spans="1:32" ht="14.25" customHeight="1" x14ac:dyDescent="0.2"/>
    <row r="318" spans="1:32" ht="14.25" customHeight="1" x14ac:dyDescent="0.2"/>
    <row r="319" spans="1:32" ht="14.25" customHeight="1" x14ac:dyDescent="0.2"/>
    <row r="320" spans="1:32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  <row r="1007" ht="14.25" customHeight="1" x14ac:dyDescent="0.2"/>
    <row r="1008" ht="14.25" customHeight="1" x14ac:dyDescent="0.2"/>
    <row r="1009" ht="14.25" customHeight="1" x14ac:dyDescent="0.2"/>
    <row r="1010" ht="14.25" customHeight="1" x14ac:dyDescent="0.2"/>
    <row r="1011" ht="14.25" customHeight="1" x14ac:dyDescent="0.2"/>
    <row r="1012" ht="14.25" customHeight="1" x14ac:dyDescent="0.2"/>
    <row r="1013" ht="14.25" customHeight="1" x14ac:dyDescent="0.2"/>
    <row r="1014" ht="14.25" customHeight="1" x14ac:dyDescent="0.2"/>
    <row r="1015" ht="14.25" customHeight="1" x14ac:dyDescent="0.2"/>
    <row r="1016" ht="14.25" customHeight="1" x14ac:dyDescent="0.2"/>
    <row r="1017" ht="14.25" customHeight="1" x14ac:dyDescent="0.2"/>
    <row r="1018" ht="14.25" customHeight="1" x14ac:dyDescent="0.2"/>
    <row r="1019" ht="14.25" customHeight="1" x14ac:dyDescent="0.2"/>
    <row r="1020" ht="14.25" customHeight="1" x14ac:dyDescent="0.2"/>
    <row r="1021" ht="14.25" customHeight="1" x14ac:dyDescent="0.2"/>
    <row r="1022" ht="14.25" customHeight="1" x14ac:dyDescent="0.2"/>
    <row r="1023" ht="14.25" customHeight="1" x14ac:dyDescent="0.2"/>
    <row r="1024" ht="14.25" customHeight="1" x14ac:dyDescent="0.2"/>
    <row r="1025" ht="14.25" customHeight="1" x14ac:dyDescent="0.2"/>
    <row r="1026" ht="14.25" customHeight="1" x14ac:dyDescent="0.2"/>
    <row r="1027" ht="14.25" customHeight="1" x14ac:dyDescent="0.2"/>
    <row r="1028" ht="14.25" customHeight="1" x14ac:dyDescent="0.2"/>
    <row r="1029" ht="14.25" customHeight="1" x14ac:dyDescent="0.2"/>
    <row r="1030" ht="14.25" customHeight="1" x14ac:dyDescent="0.2"/>
    <row r="1031" ht="14.25" customHeight="1" x14ac:dyDescent="0.2"/>
    <row r="1032" ht="14.25" customHeight="1" x14ac:dyDescent="0.2"/>
    <row r="1033" ht="14.25" customHeight="1" x14ac:dyDescent="0.2"/>
  </sheetData>
  <mergeCells count="32">
    <mergeCell ref="B91:L91"/>
    <mergeCell ref="B95:L95"/>
    <mergeCell ref="L66:L68"/>
    <mergeCell ref="B66:B68"/>
    <mergeCell ref="C66:C68"/>
    <mergeCell ref="D66:D68"/>
    <mergeCell ref="E66:E68"/>
    <mergeCell ref="F66:F68"/>
    <mergeCell ref="G66:G68"/>
    <mergeCell ref="H66:H68"/>
    <mergeCell ref="I66:I68"/>
    <mergeCell ref="J66:J68"/>
    <mergeCell ref="K66:K68"/>
    <mergeCell ref="B69:L69"/>
    <mergeCell ref="B76:L76"/>
    <mergeCell ref="B83:L83"/>
    <mergeCell ref="B87:L87"/>
    <mergeCell ref="A64:L64"/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6:L6"/>
    <mergeCell ref="B46:L46"/>
  </mergeCells>
  <printOptions horizontalCentered="1"/>
  <pageMargins left="0.31496062992125984" right="0.31496062992125984" top="0.39370078740157483" bottom="0.39370078740157483" header="0" footer="0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1039"/>
  <sheetViews>
    <sheetView topLeftCell="E57" zoomScaleNormal="100" workbookViewId="0">
      <selection activeCell="E57" sqref="E57"/>
    </sheetView>
  </sheetViews>
  <sheetFormatPr defaultColWidth="12.625" defaultRowHeight="15" customHeight="1" x14ac:dyDescent="0.2"/>
  <cols>
    <col min="1" max="1" width="30.125" customWidth="1"/>
    <col min="2" max="2" width="10.875" customWidth="1"/>
    <col min="3" max="3" width="10.25" customWidth="1"/>
    <col min="4" max="4" width="11.875" customWidth="1"/>
    <col min="5" max="5" width="11.375" bestFit="1" customWidth="1"/>
    <col min="6" max="6" width="9.625" customWidth="1"/>
    <col min="7" max="7" width="15" customWidth="1"/>
    <col min="8" max="8" width="12.75" customWidth="1"/>
    <col min="9" max="9" width="10.375" customWidth="1"/>
    <col min="10" max="10" width="12.5" customWidth="1"/>
    <col min="11" max="11" width="10.25" customWidth="1"/>
    <col min="12" max="12" width="15.375" customWidth="1"/>
    <col min="13" max="13" width="8" customWidth="1"/>
    <col min="14" max="14" width="9.875" customWidth="1"/>
    <col min="15" max="15" width="8" customWidth="1"/>
    <col min="16" max="16" width="10.25" customWidth="1"/>
    <col min="17" max="32" width="8" customWidth="1"/>
  </cols>
  <sheetData>
    <row r="1" spans="1:32" ht="14.25" customHeight="1" x14ac:dyDescent="0.25">
      <c r="A1" s="238" t="s">
        <v>90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5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customHeight="1" thickBot="1" x14ac:dyDescent="0.3">
      <c r="A2" s="88" t="s">
        <v>143</v>
      </c>
      <c r="B2" s="89">
        <v>2022</v>
      </c>
      <c r="C2" s="90"/>
      <c r="D2" s="90"/>
      <c r="E2" s="65"/>
      <c r="F2" s="65"/>
      <c r="G2" s="65"/>
      <c r="H2" s="90"/>
      <c r="I2" s="90"/>
      <c r="J2" s="90"/>
      <c r="K2" s="90"/>
      <c r="L2" s="90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91" t="s">
        <v>2</v>
      </c>
      <c r="B3" s="231" t="s">
        <v>3</v>
      </c>
      <c r="C3" s="231" t="s">
        <v>92</v>
      </c>
      <c r="D3" s="228" t="s">
        <v>93</v>
      </c>
      <c r="E3" s="241" t="s">
        <v>8</v>
      </c>
      <c r="F3" s="244" t="s">
        <v>94</v>
      </c>
      <c r="G3" s="244" t="s">
        <v>9</v>
      </c>
      <c r="H3" s="231" t="s">
        <v>11</v>
      </c>
      <c r="I3" s="231" t="s">
        <v>95</v>
      </c>
      <c r="J3" s="228" t="s">
        <v>12</v>
      </c>
      <c r="K3" s="228" t="s">
        <v>13</v>
      </c>
      <c r="L3" s="228" t="s">
        <v>14</v>
      </c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x14ac:dyDescent="0.25">
      <c r="A4" s="90" t="s">
        <v>15</v>
      </c>
      <c r="B4" s="229"/>
      <c r="C4" s="229"/>
      <c r="D4" s="229"/>
      <c r="E4" s="242"/>
      <c r="F4" s="229"/>
      <c r="G4" s="229"/>
      <c r="H4" s="229"/>
      <c r="I4" s="229"/>
      <c r="J4" s="229"/>
      <c r="K4" s="229"/>
      <c r="L4" s="229"/>
      <c r="M4" s="5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 x14ac:dyDescent="0.25">
      <c r="A5" s="92" t="s">
        <v>16</v>
      </c>
      <c r="B5" s="237"/>
      <c r="C5" s="237"/>
      <c r="D5" s="237"/>
      <c r="E5" s="243"/>
      <c r="F5" s="237"/>
      <c r="G5" s="237"/>
      <c r="H5" s="237"/>
      <c r="I5" s="237"/>
      <c r="J5" s="237"/>
      <c r="K5" s="237"/>
      <c r="L5" s="237"/>
      <c r="M5" s="5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 x14ac:dyDescent="0.25">
      <c r="A6" s="2" t="s">
        <v>96</v>
      </c>
      <c r="B6" s="235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5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 x14ac:dyDescent="0.25">
      <c r="A7" s="8" t="s">
        <v>97</v>
      </c>
      <c r="B7" s="54"/>
      <c r="C7" s="54"/>
      <c r="D7" s="54"/>
      <c r="E7" s="66"/>
      <c r="F7" s="66"/>
      <c r="G7" s="66"/>
      <c r="H7" s="54"/>
      <c r="I7" s="54"/>
      <c r="J7" s="54"/>
      <c r="K7" s="54"/>
      <c r="L7" s="54"/>
      <c r="M7" s="5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 x14ac:dyDescent="0.25">
      <c r="A8" s="10" t="s">
        <v>98</v>
      </c>
      <c r="B8" s="54"/>
      <c r="C8" s="54"/>
      <c r="D8" s="54"/>
      <c r="E8" s="66"/>
      <c r="F8" s="66"/>
      <c r="G8" s="66"/>
      <c r="H8" s="54"/>
      <c r="I8" s="54"/>
      <c r="J8" s="54"/>
      <c r="K8" s="54"/>
      <c r="L8" s="54"/>
      <c r="M8" s="5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 thickBot="1" x14ac:dyDescent="0.3">
      <c r="A9" s="6">
        <v>44579</v>
      </c>
      <c r="B9" s="55">
        <v>4000</v>
      </c>
      <c r="C9" s="55"/>
      <c r="D9" s="55"/>
      <c r="E9" s="67"/>
      <c r="F9" s="68"/>
      <c r="G9" s="69">
        <f>SUM(B9:F9)</f>
        <v>4000</v>
      </c>
      <c r="H9" s="56">
        <v>382.08</v>
      </c>
      <c r="I9" s="56">
        <v>144.35</v>
      </c>
      <c r="J9" s="56">
        <f>100.67+73.44+4.13</f>
        <v>178.24</v>
      </c>
      <c r="K9" s="56">
        <f>SUM(H9:J9)</f>
        <v>704.67</v>
      </c>
      <c r="L9" s="56">
        <f>G9-K9</f>
        <v>3295.33</v>
      </c>
      <c r="M9" s="5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4.25" customHeight="1" thickTop="1" x14ac:dyDescent="0.25">
      <c r="A10" s="8" t="s">
        <v>99</v>
      </c>
      <c r="B10" s="54"/>
      <c r="C10" s="54"/>
      <c r="D10" s="54"/>
      <c r="E10" s="66"/>
      <c r="F10" s="66"/>
      <c r="G10" s="66"/>
      <c r="H10" s="54"/>
      <c r="I10" s="54"/>
      <c r="J10" s="54"/>
      <c r="K10" s="54"/>
      <c r="L10" s="54"/>
      <c r="M10" s="5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4.25" customHeight="1" x14ac:dyDescent="0.25">
      <c r="A11" s="10" t="s">
        <v>100</v>
      </c>
      <c r="B11" s="54"/>
      <c r="C11" s="54"/>
      <c r="D11" s="54"/>
      <c r="E11" s="66"/>
      <c r="F11" s="66"/>
      <c r="G11" s="66"/>
      <c r="H11" s="54"/>
      <c r="I11" s="54"/>
      <c r="J11" s="54"/>
      <c r="K11" s="54"/>
      <c r="L11" s="54"/>
      <c r="M11" s="5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4.25" customHeight="1" thickBot="1" x14ac:dyDescent="0.3">
      <c r="A12" s="6">
        <v>43171</v>
      </c>
      <c r="B12" s="55">
        <v>1648.64</v>
      </c>
      <c r="C12" s="55"/>
      <c r="D12" s="55"/>
      <c r="E12" s="67"/>
      <c r="F12" s="68"/>
      <c r="G12" s="69">
        <f>SUM(B12:F12)</f>
        <v>1648.64</v>
      </c>
      <c r="H12" s="56">
        <v>134.97999999999999</v>
      </c>
      <c r="I12" s="56"/>
      <c r="J12" s="56">
        <f>60+0.99+66.85</f>
        <v>127.84</v>
      </c>
      <c r="K12" s="56">
        <f>SUM(H12:J12)</f>
        <v>262.82</v>
      </c>
      <c r="L12" s="56">
        <f>G12-K12</f>
        <v>1385.8200000000002</v>
      </c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.75" customHeight="1" thickTop="1" x14ac:dyDescent="0.25">
      <c r="A13" s="8" t="s">
        <v>101</v>
      </c>
      <c r="B13" s="57"/>
      <c r="C13" s="57"/>
      <c r="D13" s="57"/>
      <c r="E13" s="70"/>
      <c r="F13" s="70"/>
      <c r="G13" s="66"/>
      <c r="H13" s="54"/>
      <c r="I13" s="54"/>
      <c r="J13" s="54"/>
      <c r="K13" s="54"/>
      <c r="L13" s="54"/>
      <c r="M13" s="5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.75" customHeight="1" x14ac:dyDescent="0.25">
      <c r="A14" s="5" t="s">
        <v>144</v>
      </c>
      <c r="B14" s="57"/>
      <c r="C14" s="57"/>
      <c r="D14" s="57"/>
      <c r="E14" s="70"/>
      <c r="F14" s="70"/>
      <c r="G14" s="66"/>
      <c r="H14" s="54"/>
      <c r="I14" s="54"/>
      <c r="J14" s="54"/>
      <c r="K14" s="54"/>
      <c r="L14" s="54"/>
      <c r="M14" s="52"/>
      <c r="N14" s="1"/>
      <c r="O14" s="1"/>
      <c r="P14" s="3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.75" customHeight="1" thickBot="1" x14ac:dyDescent="0.3">
      <c r="A15" s="6">
        <v>42037</v>
      </c>
      <c r="B15" s="55">
        <v>4087.96</v>
      </c>
      <c r="C15" s="55"/>
      <c r="D15" s="55">
        <v>81.760000000000005</v>
      </c>
      <c r="E15" s="67"/>
      <c r="F15" s="68"/>
      <c r="G15" s="69">
        <f>SUM(B15:F15)</f>
        <v>4169.72</v>
      </c>
      <c r="H15" s="56">
        <v>419.93</v>
      </c>
      <c r="I15" s="56">
        <v>207.67</v>
      </c>
      <c r="J15" s="56">
        <f>60+2.09+408.3</f>
        <v>470.39</v>
      </c>
      <c r="K15" s="56">
        <f>H15+I15+J15</f>
        <v>1097.99</v>
      </c>
      <c r="L15" s="56">
        <f>G15-K15</f>
        <v>3071.7300000000005</v>
      </c>
      <c r="M15" s="5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 thickTop="1" x14ac:dyDescent="0.25">
      <c r="A16" s="8" t="s">
        <v>103</v>
      </c>
      <c r="B16" s="57"/>
      <c r="C16" s="57"/>
      <c r="D16" s="57"/>
      <c r="E16" s="70"/>
      <c r="F16" s="70"/>
      <c r="G16" s="66"/>
      <c r="H16" s="54"/>
      <c r="I16" s="54"/>
      <c r="J16" s="54"/>
      <c r="K16" s="54"/>
      <c r="L16" s="54"/>
      <c r="M16" s="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 x14ac:dyDescent="0.25">
      <c r="A17" s="5" t="s">
        <v>104</v>
      </c>
      <c r="B17" s="57"/>
      <c r="C17" s="57"/>
      <c r="D17" s="57"/>
      <c r="E17" s="70"/>
      <c r="F17" s="70"/>
      <c r="G17" s="66"/>
      <c r="H17" s="54"/>
      <c r="I17" s="54"/>
      <c r="J17" s="54"/>
      <c r="K17" s="54"/>
      <c r="L17" s="54"/>
      <c r="M17" s="5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4.25" customHeight="1" thickBot="1" x14ac:dyDescent="0.3">
      <c r="A18" s="6">
        <v>41319</v>
      </c>
      <c r="B18" s="55">
        <v>6149.85</v>
      </c>
      <c r="C18" s="55"/>
      <c r="D18" s="55">
        <v>123</v>
      </c>
      <c r="E18" s="67">
        <v>2767.43</v>
      </c>
      <c r="F18" s="68"/>
      <c r="G18" s="69">
        <f>SUM(B18:F18)</f>
        <v>9040.2800000000007</v>
      </c>
      <c r="H18" s="56">
        <v>828.38</v>
      </c>
      <c r="I18" s="56">
        <v>1284.6400000000001</v>
      </c>
      <c r="J18" s="56">
        <f>60+2.09+26.71</f>
        <v>88.800000000000011</v>
      </c>
      <c r="K18" s="56">
        <f>H18+I18+J18</f>
        <v>2201.8200000000002</v>
      </c>
      <c r="L18" s="56">
        <f>G18-K18</f>
        <v>6838.4600000000009</v>
      </c>
      <c r="M18" s="5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4.25" customHeight="1" thickTop="1" x14ac:dyDescent="0.25">
      <c r="A19" s="8" t="s">
        <v>105</v>
      </c>
      <c r="B19" s="58"/>
      <c r="C19" s="58"/>
      <c r="D19" s="58"/>
      <c r="E19" s="71"/>
      <c r="F19" s="72"/>
      <c r="G19" s="73"/>
      <c r="H19" s="83"/>
      <c r="I19" s="83"/>
      <c r="J19" s="83"/>
      <c r="K19" s="83"/>
      <c r="L19" s="83"/>
      <c r="M19" s="5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4.25" customHeight="1" x14ac:dyDescent="0.25">
      <c r="A20" s="53" t="s">
        <v>106</v>
      </c>
      <c r="B20" s="58"/>
      <c r="C20" s="58"/>
      <c r="D20" s="58"/>
      <c r="E20" s="71"/>
      <c r="F20" s="72"/>
      <c r="G20" s="73"/>
      <c r="H20" s="83"/>
      <c r="I20" s="83"/>
      <c r="J20" s="83"/>
      <c r="K20" s="83"/>
      <c r="L20" s="83"/>
      <c r="M20" s="5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thickBot="1" x14ac:dyDescent="0.3">
      <c r="A21" s="49">
        <v>44522</v>
      </c>
      <c r="B21" s="56">
        <v>3578.94</v>
      </c>
      <c r="C21" s="56"/>
      <c r="D21" s="56"/>
      <c r="E21" s="69"/>
      <c r="F21" s="74"/>
      <c r="G21" s="69">
        <f>SUM(B21:F21)</f>
        <v>3578.94</v>
      </c>
      <c r="H21" s="56">
        <v>338.47</v>
      </c>
      <c r="I21" s="56">
        <v>102.83</v>
      </c>
      <c r="J21" s="56">
        <f>60+2.09+280.68</f>
        <v>342.77</v>
      </c>
      <c r="K21" s="56">
        <f>H21+I21+J21</f>
        <v>784.06999999999994</v>
      </c>
      <c r="L21" s="56">
        <f>G21-K21</f>
        <v>2794.87</v>
      </c>
      <c r="M21" s="5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thickTop="1" x14ac:dyDescent="0.25">
      <c r="A22" s="3" t="s">
        <v>107</v>
      </c>
      <c r="B22" s="54"/>
      <c r="C22" s="54"/>
      <c r="D22" s="54"/>
      <c r="E22" s="66"/>
      <c r="F22" s="66"/>
      <c r="G22" s="66"/>
      <c r="H22" s="54"/>
      <c r="I22" s="54"/>
      <c r="J22" s="54"/>
      <c r="K22" s="54"/>
      <c r="L22" s="54"/>
      <c r="M22" s="5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5" t="s">
        <v>108</v>
      </c>
      <c r="B23" s="54"/>
      <c r="C23" s="54"/>
      <c r="D23" s="54"/>
      <c r="E23" s="66"/>
      <c r="F23" s="66"/>
      <c r="G23" s="66"/>
      <c r="H23" s="54"/>
      <c r="I23" s="54"/>
      <c r="J23" s="54"/>
      <c r="K23" s="54"/>
      <c r="L23" s="54"/>
      <c r="M23" s="5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thickBot="1" x14ac:dyDescent="0.3">
      <c r="A24" s="49">
        <v>44207</v>
      </c>
      <c r="B24" s="56">
        <v>1797.58</v>
      </c>
      <c r="C24" s="56"/>
      <c r="D24" s="56"/>
      <c r="E24" s="69"/>
      <c r="F24" s="74"/>
      <c r="G24" s="69">
        <f>SUM(B24:F24)</f>
        <v>1797.58</v>
      </c>
      <c r="H24" s="56">
        <v>143.6</v>
      </c>
      <c r="I24" s="59"/>
      <c r="J24" s="56">
        <f>60+2.09+107.15+26.71</f>
        <v>195.95000000000002</v>
      </c>
      <c r="K24" s="56">
        <f>SUM(H24:J24)</f>
        <v>339.55</v>
      </c>
      <c r="L24" s="56">
        <f>G24-K24</f>
        <v>1458.03</v>
      </c>
      <c r="M24" s="5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thickTop="1" x14ac:dyDescent="0.25">
      <c r="A25" s="3" t="s">
        <v>145</v>
      </c>
      <c r="B25" s="54"/>
      <c r="C25" s="54"/>
      <c r="D25" s="54"/>
      <c r="E25" s="66"/>
      <c r="F25" s="66"/>
      <c r="G25" s="66"/>
      <c r="H25" s="54"/>
      <c r="I25" s="54"/>
      <c r="J25" s="54"/>
      <c r="K25" s="54"/>
      <c r="L25" s="54"/>
      <c r="M25" s="5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5" t="s">
        <v>146</v>
      </c>
      <c r="B26" s="54"/>
      <c r="C26" s="54"/>
      <c r="D26" s="54"/>
      <c r="E26" s="66"/>
      <c r="F26" s="66"/>
      <c r="G26" s="66"/>
      <c r="H26" s="54"/>
      <c r="I26" s="54"/>
      <c r="J26" s="54"/>
      <c r="K26" s="54"/>
      <c r="L26" s="54"/>
      <c r="M26" s="5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thickBot="1" x14ac:dyDescent="0.3">
      <c r="A27" s="49">
        <v>44608</v>
      </c>
      <c r="B27" s="56">
        <v>1857.14</v>
      </c>
      <c r="C27" s="56"/>
      <c r="D27" s="56"/>
      <c r="E27" s="69"/>
      <c r="F27" s="74"/>
      <c r="G27" s="69">
        <f>SUM(B27:F27)</f>
        <v>1857.14</v>
      </c>
      <c r="H27" s="56">
        <v>148.96</v>
      </c>
      <c r="I27" s="59"/>
      <c r="J27" s="56"/>
      <c r="K27" s="56">
        <f>SUM(H27:J27)</f>
        <v>148.96</v>
      </c>
      <c r="L27" s="56">
        <f>G27-K27</f>
        <v>1708.18</v>
      </c>
      <c r="M27" s="5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.75" customHeight="1" thickTop="1" x14ac:dyDescent="0.25">
      <c r="A28" s="3" t="s">
        <v>109</v>
      </c>
      <c r="B28" s="54"/>
      <c r="C28" s="54"/>
      <c r="D28" s="54"/>
      <c r="E28" s="66"/>
      <c r="F28" s="66"/>
      <c r="G28" s="66"/>
      <c r="H28" s="54"/>
      <c r="I28" s="54"/>
      <c r="J28" s="54"/>
      <c r="K28" s="54"/>
      <c r="L28" s="54"/>
      <c r="M28" s="5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.75" customHeight="1" x14ac:dyDescent="0.25">
      <c r="A29" s="5" t="s">
        <v>110</v>
      </c>
      <c r="B29" s="54"/>
      <c r="C29" s="54"/>
      <c r="D29" s="54"/>
      <c r="E29" s="66"/>
      <c r="F29" s="66"/>
      <c r="G29" s="66"/>
      <c r="H29" s="54"/>
      <c r="I29" s="54"/>
      <c r="J29" s="54"/>
      <c r="K29" s="54"/>
      <c r="L29" s="54"/>
      <c r="M29" s="5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.75" customHeight="1" thickBot="1" x14ac:dyDescent="0.3">
      <c r="A30" s="49">
        <v>43739</v>
      </c>
      <c r="B30" s="56">
        <v>3829.46</v>
      </c>
      <c r="C30" s="56"/>
      <c r="D30" s="56"/>
      <c r="E30" s="69"/>
      <c r="F30" s="74"/>
      <c r="G30" s="69">
        <f>SUM(B30:F30)</f>
        <v>3829.46</v>
      </c>
      <c r="H30" s="56">
        <v>372.3</v>
      </c>
      <c r="I30" s="59">
        <v>163.77000000000001</v>
      </c>
      <c r="J30" s="56">
        <f>60+1.65+142.45+53.42</f>
        <v>257.52</v>
      </c>
      <c r="K30" s="56">
        <f>SUM(H30:J30)</f>
        <v>793.59</v>
      </c>
      <c r="L30" s="56">
        <f>G30-K30</f>
        <v>3035.87</v>
      </c>
      <c r="M30" s="5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 thickTop="1" x14ac:dyDescent="0.25">
      <c r="A31" s="8" t="s">
        <v>111</v>
      </c>
      <c r="B31" s="54"/>
      <c r="C31" s="54"/>
      <c r="D31" s="54"/>
      <c r="E31" s="66"/>
      <c r="F31" s="66"/>
      <c r="G31" s="66"/>
      <c r="H31" s="54"/>
      <c r="I31" s="54"/>
      <c r="J31" s="54"/>
      <c r="K31" s="54"/>
      <c r="L31" s="54"/>
      <c r="M31" s="5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 x14ac:dyDescent="0.25">
      <c r="A32" s="10" t="s">
        <v>100</v>
      </c>
      <c r="B32" s="54"/>
      <c r="C32" s="54"/>
      <c r="D32" s="54"/>
      <c r="E32" s="66"/>
      <c r="F32" s="66"/>
      <c r="G32" s="66"/>
      <c r="H32" s="54"/>
      <c r="I32" s="54"/>
      <c r="J32" s="54"/>
      <c r="K32" s="54"/>
      <c r="L32" s="54"/>
      <c r="M32" s="5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 thickBot="1" x14ac:dyDescent="0.3">
      <c r="A33" s="6">
        <v>43648</v>
      </c>
      <c r="B33" s="55">
        <v>1923.41</v>
      </c>
      <c r="C33" s="55"/>
      <c r="D33" s="55"/>
      <c r="E33" s="67"/>
      <c r="F33" s="68"/>
      <c r="G33" s="69">
        <f>SUM(B33:F33)</f>
        <v>1923.41</v>
      </c>
      <c r="H33" s="56">
        <v>154.91999999999999</v>
      </c>
      <c r="I33" s="56"/>
      <c r="J33" s="56">
        <f>60+1.76</f>
        <v>61.76</v>
      </c>
      <c r="K33" s="56">
        <f>SUM(H33:J33)</f>
        <v>216.67999999999998</v>
      </c>
      <c r="L33" s="56">
        <f>G33-K33</f>
        <v>1706.73</v>
      </c>
      <c r="M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 thickTop="1" x14ac:dyDescent="0.25">
      <c r="A34" s="8" t="s">
        <v>112</v>
      </c>
      <c r="B34" s="54"/>
      <c r="C34" s="54"/>
      <c r="D34" s="54"/>
      <c r="E34" s="66"/>
      <c r="F34" s="66"/>
      <c r="G34" s="66"/>
      <c r="H34" s="54"/>
      <c r="I34" s="54"/>
      <c r="J34" s="54"/>
      <c r="K34" s="54"/>
      <c r="L34" s="54"/>
      <c r="M34" s="5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 x14ac:dyDescent="0.25">
      <c r="A35" s="10" t="s">
        <v>113</v>
      </c>
      <c r="B35" s="54"/>
      <c r="C35" s="54"/>
      <c r="D35" s="54"/>
      <c r="E35" s="66"/>
      <c r="F35" s="66"/>
      <c r="G35" s="66"/>
      <c r="H35" s="54"/>
      <c r="I35" s="54"/>
      <c r="J35" s="54"/>
      <c r="K35" s="54"/>
      <c r="L35" s="54"/>
      <c r="M35" s="5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 thickBot="1" x14ac:dyDescent="0.3">
      <c r="A36" s="6">
        <v>44580</v>
      </c>
      <c r="B36" s="55">
        <v>3578.94</v>
      </c>
      <c r="C36" s="55"/>
      <c r="D36" s="55"/>
      <c r="E36" s="67"/>
      <c r="F36" s="68"/>
      <c r="G36" s="69">
        <f>SUM(B36:F36)</f>
        <v>3578.94</v>
      </c>
      <c r="H36" s="56">
        <v>335.9</v>
      </c>
      <c r="I36" s="56">
        <v>128.44999999999999</v>
      </c>
      <c r="J36" s="56">
        <f>60+3.08+35.44+21.35</f>
        <v>119.87</v>
      </c>
      <c r="K36" s="56">
        <f>SUM(H36:J36)</f>
        <v>584.22</v>
      </c>
      <c r="L36" s="56">
        <f>G36-K36</f>
        <v>2994.7200000000003</v>
      </c>
      <c r="M36" s="5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 thickTop="1" x14ac:dyDescent="0.25">
      <c r="A37" s="3" t="s">
        <v>114</v>
      </c>
      <c r="B37" s="84"/>
      <c r="C37" s="84"/>
      <c r="D37" s="84"/>
      <c r="E37" s="75"/>
      <c r="F37" s="75"/>
      <c r="G37" s="75"/>
      <c r="H37" s="84"/>
      <c r="I37" s="84"/>
      <c r="J37" s="84"/>
      <c r="K37" s="84"/>
      <c r="L37" s="84"/>
      <c r="M37" s="5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 x14ac:dyDescent="0.25">
      <c r="A38" s="5" t="s">
        <v>100</v>
      </c>
      <c r="B38" s="57"/>
      <c r="C38" s="57"/>
      <c r="D38" s="57"/>
      <c r="E38" s="70"/>
      <c r="F38" s="70"/>
      <c r="G38" s="66"/>
      <c r="H38" s="54"/>
      <c r="I38" s="54"/>
      <c r="J38" s="54"/>
      <c r="K38" s="54"/>
      <c r="L38" s="54"/>
      <c r="M38" s="5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 thickBot="1" x14ac:dyDescent="0.3">
      <c r="A39" s="6">
        <v>43325</v>
      </c>
      <c r="B39" s="55">
        <v>1923.41</v>
      </c>
      <c r="C39" s="55"/>
      <c r="D39" s="55"/>
      <c r="E39" s="67"/>
      <c r="F39" s="68">
        <v>961.71</v>
      </c>
      <c r="G39" s="69">
        <f>SUM(B39:F39)</f>
        <v>2885.12</v>
      </c>
      <c r="H39" s="59">
        <v>154.91999999999999</v>
      </c>
      <c r="I39" s="56"/>
      <c r="J39" s="59">
        <f>60+1.98+90.21+26.71</f>
        <v>178.9</v>
      </c>
      <c r="K39" s="56">
        <f>SUM(H39:J39)</f>
        <v>333.82</v>
      </c>
      <c r="L39" s="56">
        <f>G39-K39</f>
        <v>2551.2999999999997</v>
      </c>
      <c r="M39" s="5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 thickTop="1" x14ac:dyDescent="0.25">
      <c r="A40" s="8" t="s">
        <v>115</v>
      </c>
      <c r="B40" s="57"/>
      <c r="C40" s="57"/>
      <c r="D40" s="57"/>
      <c r="E40" s="70"/>
      <c r="F40" s="70"/>
      <c r="G40" s="66"/>
      <c r="H40" s="54"/>
      <c r="I40" s="54"/>
      <c r="J40" s="54"/>
      <c r="K40" s="54"/>
      <c r="L40" s="54"/>
      <c r="M40" s="5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 x14ac:dyDescent="0.25">
      <c r="A41" s="10" t="s">
        <v>116</v>
      </c>
      <c r="B41" s="57"/>
      <c r="C41" s="57"/>
      <c r="D41" s="57"/>
      <c r="E41" s="70"/>
      <c r="F41" s="70"/>
      <c r="G41" s="66"/>
      <c r="H41" s="54"/>
      <c r="I41" s="54"/>
      <c r="J41" s="54"/>
      <c r="K41" s="54"/>
      <c r="L41" s="54"/>
      <c r="M41" s="5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 thickBot="1" x14ac:dyDescent="0.3">
      <c r="A42" s="6">
        <v>43325</v>
      </c>
      <c r="B42" s="55">
        <v>1786.02</v>
      </c>
      <c r="C42" s="55"/>
      <c r="D42" s="55"/>
      <c r="E42" s="67">
        <v>803.71</v>
      </c>
      <c r="F42" s="68"/>
      <c r="G42" s="69">
        <f>SUM(B42:F42)</f>
        <v>2589.73</v>
      </c>
      <c r="H42" s="56">
        <v>229.67</v>
      </c>
      <c r="I42" s="56">
        <v>34.200000000000003</v>
      </c>
      <c r="J42" s="56">
        <f>19.23+60+1.21+618.48</f>
        <v>698.92000000000007</v>
      </c>
      <c r="K42" s="56">
        <f>H42+I42+J42</f>
        <v>962.79000000000008</v>
      </c>
      <c r="L42" s="56">
        <f>G42-K42</f>
        <v>1626.94</v>
      </c>
      <c r="M42" s="5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 thickTop="1" x14ac:dyDescent="0.25">
      <c r="A43" s="8" t="s">
        <v>117</v>
      </c>
      <c r="B43" s="54"/>
      <c r="C43" s="54"/>
      <c r="D43" s="54"/>
      <c r="E43" s="66"/>
      <c r="F43" s="66"/>
      <c r="G43" s="66"/>
      <c r="H43" s="54"/>
      <c r="I43" s="54"/>
      <c r="J43" s="54"/>
      <c r="K43" s="54"/>
      <c r="L43" s="54"/>
      <c r="M43" s="5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 x14ac:dyDescent="0.25">
      <c r="A44" s="5" t="s">
        <v>100</v>
      </c>
      <c r="B44" s="54"/>
      <c r="C44" s="54"/>
      <c r="D44" s="54"/>
      <c r="E44" s="66"/>
      <c r="F44" s="66"/>
      <c r="G44" s="66"/>
      <c r="H44" s="54"/>
      <c r="I44" s="54"/>
      <c r="J44" s="54"/>
      <c r="K44" s="54"/>
      <c r="L44" s="54"/>
      <c r="M44" s="5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 customHeight="1" thickBot="1" x14ac:dyDescent="0.3">
      <c r="A45" s="51">
        <v>43479</v>
      </c>
      <c r="B45" s="56">
        <v>1923.41</v>
      </c>
      <c r="C45" s="56"/>
      <c r="D45" s="56"/>
      <c r="E45" s="69">
        <v>61.82</v>
      </c>
      <c r="F45" s="74"/>
      <c r="G45" s="69">
        <f>SUM(B45:F45)</f>
        <v>1985.23</v>
      </c>
      <c r="H45" s="56">
        <v>160.49</v>
      </c>
      <c r="I45" s="56"/>
      <c r="J45" s="56">
        <f>19.23+60+1.32+90.21</f>
        <v>170.76</v>
      </c>
      <c r="K45" s="56">
        <f>H45+I45+J45</f>
        <v>331.25</v>
      </c>
      <c r="L45" s="56">
        <f>G45-K45</f>
        <v>1653.98</v>
      </c>
      <c r="M45" s="5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4.25" customHeight="1" thickTop="1" x14ac:dyDescent="0.25">
      <c r="A46" s="8" t="s">
        <v>118</v>
      </c>
      <c r="B46" s="54"/>
      <c r="C46" s="54"/>
      <c r="D46" s="54"/>
      <c r="E46" s="66"/>
      <c r="F46" s="66"/>
      <c r="G46" s="66"/>
      <c r="H46" s="54"/>
      <c r="I46" s="54"/>
      <c r="J46" s="54"/>
      <c r="K46" s="54"/>
      <c r="L46" s="54"/>
      <c r="M46" s="5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4.25" customHeight="1" x14ac:dyDescent="0.25">
      <c r="A47" s="5" t="s">
        <v>119</v>
      </c>
      <c r="B47" s="54"/>
      <c r="C47" s="54"/>
      <c r="D47" s="54"/>
      <c r="E47" s="66"/>
      <c r="F47" s="66"/>
      <c r="G47" s="66"/>
      <c r="H47" s="54"/>
      <c r="I47" s="54"/>
      <c r="J47" s="54"/>
      <c r="K47" s="54"/>
      <c r="L47" s="54"/>
      <c r="M47" s="5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4.25" customHeight="1" thickBot="1" x14ac:dyDescent="0.3">
      <c r="A48" s="51">
        <v>44341</v>
      </c>
      <c r="B48" s="56">
        <v>1797.58</v>
      </c>
      <c r="C48" s="56"/>
      <c r="D48" s="56"/>
      <c r="E48" s="69"/>
      <c r="F48" s="74"/>
      <c r="G48" s="69">
        <f>SUM(B48:F48)</f>
        <v>1797.58</v>
      </c>
      <c r="H48" s="56">
        <v>143.6</v>
      </c>
      <c r="I48" s="56"/>
      <c r="J48" s="56">
        <f>60+2.09+133.55</f>
        <v>195.64000000000001</v>
      </c>
      <c r="K48" s="56">
        <f>H48+I48+J48</f>
        <v>339.24</v>
      </c>
      <c r="L48" s="56">
        <f>G48-K48</f>
        <v>1458.34</v>
      </c>
      <c r="M48" s="5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thickTop="1" thickBot="1" x14ac:dyDescent="0.3">
      <c r="A49" s="28" t="s">
        <v>120</v>
      </c>
      <c r="B49" s="235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5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thickTop="1" x14ac:dyDescent="0.25">
      <c r="A50" s="8" t="s">
        <v>121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5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x14ac:dyDescent="0.25">
      <c r="A51" s="53" t="s">
        <v>122</v>
      </c>
      <c r="B51" s="58"/>
      <c r="C51" s="58"/>
      <c r="D51" s="58"/>
      <c r="E51" s="71"/>
      <c r="F51" s="71"/>
      <c r="G51" s="73"/>
      <c r="H51" s="83"/>
      <c r="I51" s="83"/>
      <c r="J51" s="83"/>
      <c r="K51" s="83"/>
      <c r="L51" s="83"/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thickBot="1" x14ac:dyDescent="0.3">
      <c r="A52" s="50">
        <v>38054</v>
      </c>
      <c r="B52" s="55">
        <v>2886.52</v>
      </c>
      <c r="C52" s="55"/>
      <c r="D52" s="55">
        <v>57.73</v>
      </c>
      <c r="E52" s="67">
        <v>1298.94</v>
      </c>
      <c r="F52" s="67"/>
      <c r="G52" s="69">
        <f>SUM(B52:F52)</f>
        <v>4243.1900000000005</v>
      </c>
      <c r="H52" s="56">
        <v>430.22</v>
      </c>
      <c r="I52" s="56">
        <v>221.79</v>
      </c>
      <c r="J52" s="56">
        <f>60+2.09+126.81</f>
        <v>188.9</v>
      </c>
      <c r="K52" s="56">
        <f>H52+I52+J52</f>
        <v>840.91</v>
      </c>
      <c r="L52" s="56">
        <f>G52-K52</f>
        <v>3402.2800000000007</v>
      </c>
      <c r="M52" s="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thickTop="1" x14ac:dyDescent="0.25">
      <c r="A53" s="8" t="s">
        <v>123</v>
      </c>
      <c r="B53" s="58"/>
      <c r="C53" s="58"/>
      <c r="D53" s="58"/>
      <c r="E53" s="71"/>
      <c r="F53" s="71"/>
      <c r="G53" s="73"/>
      <c r="H53" s="83"/>
      <c r="I53" s="83"/>
      <c r="J53" s="83"/>
      <c r="K53" s="83"/>
      <c r="L53" s="83"/>
      <c r="M53" s="5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53" t="s">
        <v>108</v>
      </c>
      <c r="B54" s="58"/>
      <c r="C54" s="58"/>
      <c r="D54" s="58"/>
      <c r="E54" s="71"/>
      <c r="F54" s="71"/>
      <c r="G54" s="73"/>
      <c r="H54" s="83"/>
      <c r="I54" s="83"/>
      <c r="J54" s="83"/>
      <c r="K54" s="83"/>
      <c r="L54" s="83"/>
      <c r="M54" s="5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thickBot="1" x14ac:dyDescent="0.3">
      <c r="A55" s="50">
        <v>44319</v>
      </c>
      <c r="B55" s="55">
        <v>1797.58</v>
      </c>
      <c r="C55" s="55"/>
      <c r="D55" s="55"/>
      <c r="E55" s="67"/>
      <c r="F55" s="67"/>
      <c r="G55" s="69">
        <f>SUM(B55:F55)</f>
        <v>1797.58</v>
      </c>
      <c r="H55" s="56">
        <v>137.27000000000001</v>
      </c>
      <c r="I55" s="56"/>
      <c r="J55" s="56">
        <f>70.26+60+1.98</f>
        <v>132.23999999999998</v>
      </c>
      <c r="K55" s="56">
        <f>H55+I55+J55</f>
        <v>269.51</v>
      </c>
      <c r="L55" s="56">
        <f>G55-K55</f>
        <v>1528.07</v>
      </c>
      <c r="M55" s="5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.75" customHeight="1" thickTop="1" x14ac:dyDescent="0.25">
      <c r="A56" s="8" t="s">
        <v>124</v>
      </c>
      <c r="B56" s="58"/>
      <c r="C56" s="58"/>
      <c r="D56" s="58"/>
      <c r="E56" s="71"/>
      <c r="F56" s="71"/>
      <c r="G56" s="73"/>
      <c r="H56" s="83"/>
      <c r="I56" s="83"/>
      <c r="J56" s="83"/>
      <c r="K56" s="83"/>
      <c r="L56" s="83"/>
      <c r="M56" s="5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 customHeight="1" x14ac:dyDescent="0.25">
      <c r="A57" s="53" t="s">
        <v>116</v>
      </c>
      <c r="B57" s="58"/>
      <c r="C57" s="58"/>
      <c r="D57" s="58"/>
      <c r="E57" s="71"/>
      <c r="F57" s="71"/>
      <c r="G57" s="73"/>
      <c r="H57" s="83"/>
      <c r="I57" s="83"/>
      <c r="J57" s="83"/>
      <c r="K57" s="83"/>
      <c r="L57" s="83"/>
      <c r="M57" s="5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 customHeight="1" thickBot="1" x14ac:dyDescent="0.3">
      <c r="A58" s="50">
        <v>43845</v>
      </c>
      <c r="B58" s="55">
        <v>1923.41</v>
      </c>
      <c r="C58" s="55"/>
      <c r="D58" s="55"/>
      <c r="E58" s="67"/>
      <c r="F58" s="67"/>
      <c r="G58" s="69">
        <f>SUM(B58:F58)</f>
        <v>1923.41</v>
      </c>
      <c r="H58" s="56">
        <v>154.91999999999999</v>
      </c>
      <c r="I58" s="56"/>
      <c r="J58" s="56">
        <f>19.23+60+1.87+72.31</f>
        <v>153.41000000000003</v>
      </c>
      <c r="K58" s="56">
        <f>H58+I58+J58</f>
        <v>308.33000000000004</v>
      </c>
      <c r="L58" s="56">
        <f>G58-K58</f>
        <v>1615.08</v>
      </c>
      <c r="M58" s="5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" customHeight="1" thickTop="1" x14ac:dyDescent="0.2"/>
    <row r="62" spans="1:32" ht="15.75" customHeight="1" x14ac:dyDescent="0.25">
      <c r="A62" s="82"/>
      <c r="B62" s="58"/>
      <c r="C62" s="58"/>
      <c r="D62" s="58"/>
      <c r="E62" s="71"/>
      <c r="F62" s="71"/>
      <c r="G62" s="73"/>
      <c r="H62" s="83"/>
      <c r="I62" s="83"/>
      <c r="J62" s="83"/>
      <c r="K62" s="83"/>
      <c r="L62" s="83"/>
      <c r="M62" s="5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A63" s="82"/>
      <c r="B63" s="58"/>
      <c r="C63" s="58"/>
      <c r="D63" s="58"/>
      <c r="E63" s="71"/>
      <c r="F63" s="71"/>
      <c r="G63" s="73"/>
      <c r="H63" s="83"/>
      <c r="I63" s="83"/>
      <c r="J63" s="83"/>
      <c r="K63" s="83"/>
      <c r="L63" s="83"/>
      <c r="M63" s="5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25">
      <c r="A64" s="82"/>
      <c r="B64" s="58"/>
      <c r="C64" s="58"/>
      <c r="D64" s="58"/>
      <c r="E64" s="71"/>
      <c r="F64" s="71"/>
      <c r="G64" s="73"/>
      <c r="H64" s="83"/>
      <c r="I64" s="83"/>
      <c r="J64" s="83"/>
      <c r="K64" s="83"/>
      <c r="L64" s="83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x14ac:dyDescent="0.25">
      <c r="A65" s="82"/>
      <c r="B65" s="58"/>
      <c r="C65" s="58"/>
      <c r="D65" s="58"/>
      <c r="E65" s="71"/>
      <c r="F65" s="71"/>
      <c r="G65" s="73"/>
      <c r="H65" s="83"/>
      <c r="I65" s="83"/>
      <c r="J65" s="83"/>
      <c r="K65" s="83"/>
      <c r="L65" s="83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M66" s="5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25">
      <c r="A67" s="238" t="s">
        <v>90</v>
      </c>
      <c r="B67" s="229"/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thickBot="1" x14ac:dyDescent="0.3">
      <c r="A68" s="88" t="s">
        <v>143</v>
      </c>
      <c r="B68" s="89">
        <v>2022</v>
      </c>
      <c r="C68" s="90"/>
      <c r="D68" s="90"/>
      <c r="E68" s="65"/>
      <c r="F68" s="65"/>
      <c r="G68" s="65"/>
      <c r="H68" s="90"/>
      <c r="I68" s="90"/>
      <c r="J68" s="90"/>
      <c r="K68" s="90"/>
      <c r="L68" s="90"/>
      <c r="M68" s="5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91" t="s">
        <v>2</v>
      </c>
      <c r="B69" s="231" t="s">
        <v>3</v>
      </c>
      <c r="C69" s="231" t="s">
        <v>92</v>
      </c>
      <c r="D69" s="228" t="s">
        <v>93</v>
      </c>
      <c r="E69" s="241" t="s">
        <v>8</v>
      </c>
      <c r="F69" s="244" t="s">
        <v>94</v>
      </c>
      <c r="G69" s="244" t="s">
        <v>9</v>
      </c>
      <c r="H69" s="231" t="s">
        <v>11</v>
      </c>
      <c r="I69" s="231" t="s">
        <v>95</v>
      </c>
      <c r="J69" s="228" t="s">
        <v>12</v>
      </c>
      <c r="K69" s="228" t="s">
        <v>13</v>
      </c>
      <c r="L69" s="228" t="s">
        <v>14</v>
      </c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25">
      <c r="A70" s="90" t="s">
        <v>15</v>
      </c>
      <c r="B70" s="229"/>
      <c r="C70" s="229"/>
      <c r="D70" s="229"/>
      <c r="E70" s="242"/>
      <c r="F70" s="229"/>
      <c r="G70" s="229"/>
      <c r="H70" s="229"/>
      <c r="I70" s="229"/>
      <c r="J70" s="229"/>
      <c r="K70" s="229"/>
      <c r="L70" s="229"/>
      <c r="M70" s="5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25">
      <c r="A71" s="92" t="s">
        <v>16</v>
      </c>
      <c r="B71" s="237"/>
      <c r="C71" s="237"/>
      <c r="D71" s="237"/>
      <c r="E71" s="243"/>
      <c r="F71" s="237"/>
      <c r="G71" s="237"/>
      <c r="H71" s="237"/>
      <c r="I71" s="237"/>
      <c r="J71" s="237"/>
      <c r="K71" s="237"/>
      <c r="L71" s="237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x14ac:dyDescent="0.25">
      <c r="A72" s="2" t="s">
        <v>120</v>
      </c>
      <c r="B72" s="235"/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5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x14ac:dyDescent="0.25">
      <c r="A73" s="8" t="s">
        <v>125</v>
      </c>
      <c r="B73" s="58"/>
      <c r="C73" s="58"/>
      <c r="D73" s="58"/>
      <c r="E73" s="71"/>
      <c r="F73" s="71"/>
      <c r="G73" s="73"/>
      <c r="H73" s="83"/>
      <c r="I73" s="83"/>
      <c r="J73" s="83"/>
      <c r="K73" s="83"/>
      <c r="L73" s="83"/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25">
      <c r="A74" s="53" t="s">
        <v>126</v>
      </c>
      <c r="B74" s="58"/>
      <c r="C74" s="58"/>
      <c r="D74" s="58"/>
      <c r="E74" s="71"/>
      <c r="F74" s="71"/>
      <c r="G74" s="73"/>
      <c r="H74" s="83"/>
      <c r="I74" s="83"/>
      <c r="J74" s="83"/>
      <c r="K74" s="83"/>
      <c r="L74" s="83"/>
      <c r="M74" s="5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thickBot="1" x14ac:dyDescent="0.3">
      <c r="A75" s="50">
        <v>39783</v>
      </c>
      <c r="B75" s="55">
        <v>2886.52</v>
      </c>
      <c r="C75" s="55"/>
      <c r="D75" s="55">
        <v>57.73</v>
      </c>
      <c r="E75" s="67">
        <v>1298.93</v>
      </c>
      <c r="F75" s="67"/>
      <c r="G75" s="69">
        <f>SUM(B75:F75)</f>
        <v>4243.18</v>
      </c>
      <c r="H75" s="56">
        <v>430.22</v>
      </c>
      <c r="I75" s="56">
        <v>221.79</v>
      </c>
      <c r="J75" s="56">
        <f>60+1.87+489.1+80.13</f>
        <v>631.1</v>
      </c>
      <c r="K75" s="56">
        <f>H75+I75+J75</f>
        <v>1283.1100000000001</v>
      </c>
      <c r="L75" s="56">
        <f>G75-K75</f>
        <v>2960.07</v>
      </c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thickTop="1" x14ac:dyDescent="0.25">
      <c r="A76" s="3" t="s">
        <v>127</v>
      </c>
      <c r="B76" s="57"/>
      <c r="C76" s="60"/>
      <c r="D76" s="60"/>
      <c r="E76" s="76"/>
      <c r="F76" s="77"/>
      <c r="G76" s="78"/>
      <c r="H76" s="61"/>
      <c r="I76" s="61"/>
      <c r="J76" s="61"/>
      <c r="K76" s="61"/>
      <c r="L76" s="61"/>
      <c r="M76" s="5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25">
      <c r="A77" s="5" t="s">
        <v>116</v>
      </c>
      <c r="B77" s="57"/>
      <c r="C77" s="60"/>
      <c r="D77" s="60"/>
      <c r="E77" s="76"/>
      <c r="F77" s="77"/>
      <c r="G77" s="78"/>
      <c r="H77" s="61"/>
      <c r="I77" s="61"/>
      <c r="J77" s="61"/>
      <c r="K77" s="61"/>
      <c r="L77" s="61"/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thickBot="1" x14ac:dyDescent="0.3">
      <c r="A78" s="50">
        <v>43325</v>
      </c>
      <c r="B78" s="55">
        <v>1923.41</v>
      </c>
      <c r="C78" s="55"/>
      <c r="D78" s="55"/>
      <c r="E78" s="67">
        <v>865.53</v>
      </c>
      <c r="F78" s="67"/>
      <c r="G78" s="69">
        <f>SUM(B78:F78)</f>
        <v>2788.94</v>
      </c>
      <c r="H78" s="56">
        <v>243.67</v>
      </c>
      <c r="I78" s="56">
        <v>48.1</v>
      </c>
      <c r="J78" s="56">
        <f>60+2.09+66.85+26.71</f>
        <v>155.65</v>
      </c>
      <c r="K78" s="56">
        <f>H78+I78+J78</f>
        <v>447.41999999999996</v>
      </c>
      <c r="L78" s="56">
        <f>G78-K78</f>
        <v>2341.52</v>
      </c>
      <c r="M78" s="5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thickTop="1" x14ac:dyDescent="0.25">
      <c r="A79" s="8" t="s">
        <v>128</v>
      </c>
      <c r="B79" s="57"/>
      <c r="C79" s="57"/>
      <c r="D79" s="57"/>
      <c r="E79" s="70"/>
      <c r="F79" s="70"/>
      <c r="G79" s="66"/>
      <c r="H79" s="54"/>
      <c r="I79" s="54"/>
      <c r="J79" s="54"/>
      <c r="K79" s="54"/>
      <c r="L79" s="54"/>
      <c r="M79" s="5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 x14ac:dyDescent="0.25">
      <c r="A80" s="10" t="s">
        <v>116</v>
      </c>
      <c r="B80" s="57"/>
      <c r="C80" s="57"/>
      <c r="D80" s="57"/>
      <c r="E80" s="70"/>
      <c r="F80" s="70"/>
      <c r="G80" s="66"/>
      <c r="H80" s="54"/>
      <c r="I80" s="54"/>
      <c r="J80" s="54"/>
      <c r="K80" s="54"/>
      <c r="L80" s="54"/>
      <c r="M80" s="5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thickBot="1" x14ac:dyDescent="0.3">
      <c r="A81" s="6">
        <v>43325</v>
      </c>
      <c r="B81" s="55">
        <v>1923.41</v>
      </c>
      <c r="C81" s="55"/>
      <c r="D81" s="55"/>
      <c r="E81" s="67">
        <v>865.53</v>
      </c>
      <c r="F81" s="68"/>
      <c r="G81" s="69">
        <f>SUM(B81:F81)</f>
        <v>2788.94</v>
      </c>
      <c r="H81" s="56">
        <v>243.67</v>
      </c>
      <c r="I81" s="56">
        <v>48.1</v>
      </c>
      <c r="J81" s="56">
        <f>19.23+60+0.99+101.47</f>
        <v>181.69</v>
      </c>
      <c r="K81" s="56">
        <f>H81+I81+J81</f>
        <v>473.46</v>
      </c>
      <c r="L81" s="56">
        <f>G81-K81</f>
        <v>2315.48</v>
      </c>
      <c r="M81" s="5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thickTop="1" x14ac:dyDescent="0.25">
      <c r="A82" s="28" t="s">
        <v>129</v>
      </c>
      <c r="B82" s="235"/>
      <c r="C82" s="236"/>
      <c r="D82" s="236"/>
      <c r="E82" s="236"/>
      <c r="F82" s="236"/>
      <c r="G82" s="236"/>
      <c r="H82" s="236"/>
      <c r="I82" s="236"/>
      <c r="J82" s="236"/>
      <c r="K82" s="236"/>
      <c r="L82" s="236"/>
      <c r="M82" s="5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 x14ac:dyDescent="0.25">
      <c r="A83" s="3" t="s">
        <v>130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5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 x14ac:dyDescent="0.25">
      <c r="A84" s="5" t="s">
        <v>131</v>
      </c>
      <c r="B84" s="57"/>
      <c r="C84" s="60"/>
      <c r="D84" s="60"/>
      <c r="E84" s="76"/>
      <c r="F84" s="77"/>
      <c r="G84" s="78"/>
      <c r="H84" s="61"/>
      <c r="I84" s="61"/>
      <c r="J84" s="61"/>
      <c r="K84" s="61"/>
      <c r="L84" s="61"/>
      <c r="M84" s="5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 thickBot="1" x14ac:dyDescent="0.3">
      <c r="A85" s="50">
        <v>44509</v>
      </c>
      <c r="B85" s="55">
        <v>2663.52</v>
      </c>
      <c r="C85" s="55"/>
      <c r="D85" s="55"/>
      <c r="E85" s="67"/>
      <c r="F85" s="67"/>
      <c r="G85" s="69">
        <f>SUM(B85:F85)</f>
        <v>2663.52</v>
      </c>
      <c r="H85" s="56">
        <v>228.62</v>
      </c>
      <c r="I85" s="56">
        <v>39.82</v>
      </c>
      <c r="J85" s="56">
        <f>22+26.64+60+2.09+218.73</f>
        <v>329.46</v>
      </c>
      <c r="K85" s="56">
        <f>H85+I85+J85</f>
        <v>597.9</v>
      </c>
      <c r="L85" s="56">
        <f>G85-K85</f>
        <v>2065.62</v>
      </c>
      <c r="M85" s="5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thickTop="1" x14ac:dyDescent="0.25">
      <c r="A86" s="8" t="s">
        <v>132</v>
      </c>
      <c r="B86" s="12"/>
      <c r="C86" s="12"/>
      <c r="D86" s="12"/>
      <c r="E86" s="12"/>
      <c r="F86" s="12"/>
      <c r="G86" s="23"/>
      <c r="H86" s="23"/>
      <c r="I86" s="23"/>
      <c r="J86" s="23"/>
      <c r="K86" s="23"/>
      <c r="L86" s="23"/>
      <c r="M86" s="5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x14ac:dyDescent="0.25">
      <c r="A87" s="5" t="s">
        <v>133</v>
      </c>
      <c r="B87" s="57"/>
      <c r="C87" s="57"/>
      <c r="D87" s="57"/>
      <c r="E87" s="70"/>
      <c r="F87" s="70"/>
      <c r="G87" s="66"/>
      <c r="H87" s="54"/>
      <c r="I87" s="54"/>
      <c r="J87" s="54"/>
      <c r="K87" s="54"/>
      <c r="L87" s="54"/>
      <c r="M87" s="52"/>
      <c r="N87" s="1"/>
      <c r="O87" s="1"/>
      <c r="P87" s="34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6.5" customHeight="1" thickBot="1" x14ac:dyDescent="0.3">
      <c r="A88" s="6">
        <v>43325</v>
      </c>
      <c r="B88" s="55">
        <v>2849.96</v>
      </c>
      <c r="C88" s="55"/>
      <c r="D88" s="55"/>
      <c r="E88" s="67">
        <f>B88*45%</f>
        <v>1282.482</v>
      </c>
      <c r="F88" s="68">
        <v>1424.98</v>
      </c>
      <c r="G88" s="69">
        <f>SUM(B88:F88)</f>
        <v>5557.4220000000005</v>
      </c>
      <c r="H88" s="56">
        <v>414.71</v>
      </c>
      <c r="I88" s="56">
        <v>145.97999999999999</v>
      </c>
      <c r="J88" s="56">
        <f>28.5+60+1.98+26.71</f>
        <v>117.19</v>
      </c>
      <c r="K88" s="56">
        <f>H88+I88+J88</f>
        <v>677.87999999999988</v>
      </c>
      <c r="L88" s="56">
        <f>G88-K88</f>
        <v>4879.5420000000004</v>
      </c>
      <c r="M88" s="5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thickTop="1" x14ac:dyDescent="0.25">
      <c r="A89" s="28" t="s">
        <v>134</v>
      </c>
      <c r="B89" s="235"/>
      <c r="C89" s="236"/>
      <c r="D89" s="236"/>
      <c r="E89" s="236"/>
      <c r="F89" s="236"/>
      <c r="G89" s="236"/>
      <c r="H89" s="236"/>
      <c r="I89" s="236"/>
      <c r="J89" s="236"/>
      <c r="K89" s="236"/>
      <c r="L89" s="236"/>
      <c r="M89" s="5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x14ac:dyDescent="0.25">
      <c r="A90" s="8" t="s">
        <v>135</v>
      </c>
      <c r="B90" s="12"/>
      <c r="C90" s="12"/>
      <c r="D90" s="12"/>
      <c r="E90" s="12"/>
      <c r="F90" s="12"/>
      <c r="G90" s="23"/>
      <c r="H90" s="23"/>
      <c r="I90" s="23"/>
      <c r="J90" s="23"/>
      <c r="K90" s="23"/>
      <c r="L90" s="23"/>
      <c r="M90" s="5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x14ac:dyDescent="0.25">
      <c r="A91" s="5" t="s">
        <v>136</v>
      </c>
      <c r="B91" s="57"/>
      <c r="C91" s="57"/>
      <c r="D91" s="57"/>
      <c r="E91" s="70"/>
      <c r="F91" s="70"/>
      <c r="G91" s="66"/>
      <c r="H91" s="54"/>
      <c r="I91" s="54"/>
      <c r="J91" s="54"/>
      <c r="K91" s="54"/>
      <c r="L91" s="54"/>
      <c r="M91" s="52"/>
      <c r="N91" s="1"/>
      <c r="O91" s="1"/>
      <c r="P91" s="34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6.5" customHeight="1" thickBot="1" x14ac:dyDescent="0.3">
      <c r="A92" s="6">
        <v>43675</v>
      </c>
      <c r="B92" s="55">
        <v>2239.25</v>
      </c>
      <c r="C92" s="55"/>
      <c r="D92" s="55"/>
      <c r="E92" s="67"/>
      <c r="F92" s="68"/>
      <c r="G92" s="69">
        <f>SUM(B92:F92)</f>
        <v>2239.25</v>
      </c>
      <c r="H92" s="56">
        <v>211.91</v>
      </c>
      <c r="I92" s="56"/>
      <c r="J92" s="56">
        <f>60+1.43+182.51</f>
        <v>243.94</v>
      </c>
      <c r="K92" s="56">
        <f>H92+I92+J92</f>
        <v>455.85</v>
      </c>
      <c r="L92" s="56">
        <f>G92-K92</f>
        <v>1783.4</v>
      </c>
      <c r="M92" s="5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thickTop="1" x14ac:dyDescent="0.25">
      <c r="A93" s="28" t="s">
        <v>137</v>
      </c>
      <c r="B93" s="235"/>
      <c r="C93" s="236"/>
      <c r="D93" s="236"/>
      <c r="E93" s="236"/>
      <c r="F93" s="236"/>
      <c r="G93" s="236"/>
      <c r="H93" s="236"/>
      <c r="I93" s="236"/>
      <c r="J93" s="236"/>
      <c r="K93" s="236"/>
      <c r="L93" s="236"/>
      <c r="M93" s="5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 x14ac:dyDescent="0.25">
      <c r="A94" s="8" t="s">
        <v>138</v>
      </c>
      <c r="B94" s="12"/>
      <c r="C94" s="12"/>
      <c r="D94" s="12"/>
      <c r="E94" s="12"/>
      <c r="F94" s="12"/>
      <c r="G94" s="23"/>
      <c r="H94" s="23"/>
      <c r="I94" s="23"/>
      <c r="J94" s="23"/>
      <c r="K94" s="23"/>
      <c r="L94" s="23"/>
      <c r="M94" s="5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x14ac:dyDescent="0.25">
      <c r="A95" s="5" t="s">
        <v>131</v>
      </c>
      <c r="B95" s="57"/>
      <c r="C95" s="57"/>
      <c r="D95" s="57"/>
      <c r="E95" s="70"/>
      <c r="F95" s="70"/>
      <c r="G95" s="66"/>
      <c r="H95" s="54"/>
      <c r="I95" s="54"/>
      <c r="J95" s="54"/>
      <c r="K95" s="54"/>
      <c r="L95" s="54"/>
      <c r="M95" s="52"/>
      <c r="N95" s="1"/>
      <c r="O95" s="1"/>
      <c r="P95" s="34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6.5" customHeight="1" thickBot="1" x14ac:dyDescent="0.3">
      <c r="A96" s="6">
        <v>44516</v>
      </c>
      <c r="B96" s="55">
        <v>2663.52</v>
      </c>
      <c r="C96" s="55"/>
      <c r="D96" s="55"/>
      <c r="E96" s="67"/>
      <c r="F96" s="68"/>
      <c r="G96" s="69">
        <f>SUM(B96:F96)</f>
        <v>2663.52</v>
      </c>
      <c r="H96" s="56">
        <v>228.62</v>
      </c>
      <c r="I96" s="56">
        <v>25.6</v>
      </c>
      <c r="J96" s="56">
        <f>60+2.09</f>
        <v>62.09</v>
      </c>
      <c r="K96" s="56">
        <f>H96+I96+J96</f>
        <v>316.31</v>
      </c>
      <c r="L96" s="56">
        <f>G96-K96</f>
        <v>2347.21</v>
      </c>
      <c r="M96" s="5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thickTop="1" x14ac:dyDescent="0.25">
      <c r="A97" s="28" t="s">
        <v>139</v>
      </c>
      <c r="B97" s="235"/>
      <c r="C97" s="236"/>
      <c r="D97" s="236"/>
      <c r="E97" s="236"/>
      <c r="F97" s="236"/>
      <c r="G97" s="236"/>
      <c r="H97" s="236"/>
      <c r="I97" s="236"/>
      <c r="J97" s="236"/>
      <c r="K97" s="236"/>
      <c r="L97" s="236"/>
      <c r="M97" s="5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x14ac:dyDescent="0.25">
      <c r="A98" s="8" t="s">
        <v>140</v>
      </c>
      <c r="B98" s="57"/>
      <c r="C98" s="57"/>
      <c r="D98" s="57"/>
      <c r="E98" s="70"/>
      <c r="F98" s="79"/>
      <c r="G98" s="66"/>
      <c r="H98" s="54"/>
      <c r="I98" s="54"/>
      <c r="J98" s="54"/>
      <c r="K98" s="54"/>
      <c r="L98" s="54"/>
      <c r="M98" s="5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25">
      <c r="A99" s="10" t="s">
        <v>131</v>
      </c>
      <c r="B99" s="57"/>
      <c r="C99" s="57"/>
      <c r="D99" s="57"/>
      <c r="E99" s="70"/>
      <c r="F99" s="79"/>
      <c r="G99" s="66"/>
      <c r="H99" s="54"/>
      <c r="I99" s="54"/>
      <c r="J99" s="54"/>
      <c r="K99" s="54"/>
      <c r="L99" s="54"/>
      <c r="M99" s="5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thickBot="1" x14ac:dyDescent="0.3">
      <c r="A100" s="6">
        <v>44249</v>
      </c>
      <c r="B100" s="55">
        <v>2663.52</v>
      </c>
      <c r="C100" s="55"/>
      <c r="D100" s="55"/>
      <c r="E100" s="67"/>
      <c r="F100" s="68"/>
      <c r="G100" s="69">
        <f>SUM(B100:F100)</f>
        <v>2663.52</v>
      </c>
      <c r="H100" s="56">
        <v>228.62</v>
      </c>
      <c r="I100" s="56">
        <v>11.38</v>
      </c>
      <c r="J100" s="56">
        <f>60+2.09+182.88+26.71</f>
        <v>271.68</v>
      </c>
      <c r="K100" s="56">
        <f>H100+I100+J100</f>
        <v>511.68</v>
      </c>
      <c r="L100" s="56">
        <f>G100-K100</f>
        <v>2151.84</v>
      </c>
      <c r="M100" s="5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thickTop="1" x14ac:dyDescent="0.25">
      <c r="A101" s="28" t="s">
        <v>141</v>
      </c>
      <c r="B101" s="235"/>
      <c r="C101" s="236"/>
      <c r="D101" s="236"/>
      <c r="E101" s="236"/>
      <c r="F101" s="236"/>
      <c r="G101" s="236"/>
      <c r="H101" s="236"/>
      <c r="I101" s="236"/>
      <c r="J101" s="236"/>
      <c r="K101" s="236"/>
      <c r="L101" s="236"/>
      <c r="M101" s="5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x14ac:dyDescent="0.25">
      <c r="A102" s="8" t="s">
        <v>142</v>
      </c>
      <c r="B102" s="57"/>
      <c r="C102" s="57"/>
      <c r="D102" s="57"/>
      <c r="E102" s="70"/>
      <c r="F102" s="79"/>
      <c r="G102" s="66"/>
      <c r="H102" s="54"/>
      <c r="I102" s="54"/>
      <c r="J102" s="54"/>
      <c r="K102" s="54"/>
      <c r="L102" s="54"/>
      <c r="M102" s="5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 x14ac:dyDescent="0.25">
      <c r="A103" s="10" t="s">
        <v>131</v>
      </c>
      <c r="B103" s="57"/>
      <c r="C103" s="57"/>
      <c r="D103" s="57"/>
      <c r="E103" s="70"/>
      <c r="F103" s="79"/>
      <c r="G103" s="66"/>
      <c r="H103" s="54"/>
      <c r="I103" s="54"/>
      <c r="J103" s="54"/>
      <c r="K103" s="54"/>
      <c r="L103" s="54"/>
      <c r="M103" s="5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 thickBot="1" x14ac:dyDescent="0.3">
      <c r="A104" s="6">
        <v>44249</v>
      </c>
      <c r="B104" s="55">
        <v>2663.52</v>
      </c>
      <c r="C104" s="55"/>
      <c r="D104" s="55"/>
      <c r="E104" s="67"/>
      <c r="F104" s="68"/>
      <c r="G104" s="69">
        <f>SUM(B104:F104)</f>
        <v>2663.52</v>
      </c>
      <c r="H104" s="56">
        <v>228.62</v>
      </c>
      <c r="I104" s="56">
        <v>39.82</v>
      </c>
      <c r="J104" s="56">
        <f>60+2.09</f>
        <v>62.09</v>
      </c>
      <c r="K104" s="56">
        <f>H104+I104+J104</f>
        <v>330.53</v>
      </c>
      <c r="L104" s="56">
        <f>G104-K104</f>
        <v>2332.9899999999998</v>
      </c>
      <c r="M104" s="5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 thickTop="1" x14ac:dyDescent="0.25">
      <c r="A105" s="28" t="s">
        <v>147</v>
      </c>
      <c r="B105" s="235"/>
      <c r="C105" s="236"/>
      <c r="D105" s="236"/>
      <c r="E105" s="236"/>
      <c r="F105" s="236"/>
      <c r="G105" s="236"/>
      <c r="H105" s="236"/>
      <c r="I105" s="236"/>
      <c r="J105" s="236"/>
      <c r="K105" s="236"/>
      <c r="L105" s="236"/>
      <c r="M105" s="5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 x14ac:dyDescent="0.25">
      <c r="A106" s="8" t="s">
        <v>148</v>
      </c>
      <c r="B106" s="57"/>
      <c r="C106" s="57"/>
      <c r="D106" s="57"/>
      <c r="E106" s="70"/>
      <c r="F106" s="79"/>
      <c r="G106" s="66"/>
      <c r="H106" s="54"/>
      <c r="I106" s="54"/>
      <c r="J106" s="54"/>
      <c r="K106" s="54"/>
      <c r="L106" s="54"/>
      <c r="M106" s="52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customHeight="1" x14ac:dyDescent="0.25">
      <c r="A107" s="10" t="s">
        <v>149</v>
      </c>
      <c r="B107" s="57"/>
      <c r="C107" s="57"/>
      <c r="D107" s="57"/>
      <c r="E107" s="70"/>
      <c r="F107" s="79"/>
      <c r="G107" s="66"/>
      <c r="H107" s="54"/>
      <c r="I107" s="54"/>
      <c r="J107" s="54"/>
      <c r="K107" s="54"/>
      <c r="L107" s="54"/>
      <c r="M107" s="52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.75" customHeight="1" thickBot="1" x14ac:dyDescent="0.3">
      <c r="A108" s="6">
        <v>44615</v>
      </c>
      <c r="B108" s="55">
        <v>171.43</v>
      </c>
      <c r="C108" s="55"/>
      <c r="D108" s="55"/>
      <c r="E108" s="67"/>
      <c r="F108" s="68"/>
      <c r="G108" s="69">
        <f>SUM(B108:F108)</f>
        <v>171.43</v>
      </c>
      <c r="H108" s="56"/>
      <c r="I108" s="56"/>
      <c r="J108" s="56"/>
      <c r="K108" s="56">
        <f>H108+I108+J108</f>
        <v>0</v>
      </c>
      <c r="L108" s="56">
        <f>G108-K108</f>
        <v>171.43</v>
      </c>
      <c r="M108" s="5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" customHeight="1" thickTop="1" x14ac:dyDescent="0.2">
      <c r="B109" s="63"/>
      <c r="C109" s="63"/>
      <c r="D109" s="63"/>
      <c r="E109" s="81"/>
      <c r="F109" s="81"/>
      <c r="G109" s="81"/>
      <c r="H109" s="63"/>
      <c r="I109" s="63"/>
      <c r="J109" s="63"/>
      <c r="K109" s="63"/>
      <c r="L109" s="63"/>
    </row>
    <row r="110" spans="1:32" ht="15" customHeight="1" x14ac:dyDescent="0.2">
      <c r="B110" s="63"/>
      <c r="C110" s="63"/>
      <c r="D110" s="63"/>
      <c r="E110" s="81"/>
      <c r="F110" s="81"/>
      <c r="G110" s="81"/>
      <c r="H110" s="63"/>
      <c r="I110" s="63"/>
      <c r="J110" s="63"/>
      <c r="K110" s="63"/>
      <c r="L110" s="63"/>
    </row>
    <row r="111" spans="1:32" ht="15" customHeight="1" x14ac:dyDescent="0.2">
      <c r="B111" s="63"/>
      <c r="C111" s="63"/>
      <c r="D111" s="63"/>
      <c r="E111" s="81"/>
      <c r="F111" s="81"/>
      <c r="G111" s="81"/>
      <c r="H111" s="63"/>
      <c r="I111" s="63"/>
      <c r="J111" s="63"/>
      <c r="K111" s="63"/>
      <c r="L111" s="63"/>
    </row>
    <row r="112" spans="1:32" ht="15" customHeight="1" x14ac:dyDescent="0.2">
      <c r="B112" s="63"/>
      <c r="C112" s="63"/>
      <c r="D112" s="63"/>
      <c r="E112" s="81"/>
      <c r="F112" s="81"/>
      <c r="G112" s="81"/>
      <c r="H112" s="63"/>
      <c r="I112" s="63"/>
      <c r="J112" s="63"/>
      <c r="K112" s="63"/>
      <c r="L112" s="63"/>
    </row>
    <row r="113" spans="1:32" ht="15" customHeight="1" x14ac:dyDescent="0.2">
      <c r="B113" s="63"/>
      <c r="C113" s="63"/>
      <c r="D113" s="63"/>
      <c r="E113" s="81"/>
      <c r="F113" s="81"/>
      <c r="G113" s="81"/>
      <c r="H113" s="63"/>
      <c r="I113" s="63"/>
      <c r="J113" s="63"/>
      <c r="K113" s="63"/>
      <c r="L113" s="63"/>
    </row>
    <row r="114" spans="1:32" ht="15" customHeight="1" x14ac:dyDescent="0.2">
      <c r="B114" s="63"/>
      <c r="C114" s="63"/>
      <c r="D114" s="63"/>
      <c r="E114" s="81"/>
      <c r="F114" s="81"/>
      <c r="G114" s="81"/>
      <c r="H114" s="63"/>
      <c r="I114" s="63"/>
      <c r="J114" s="63"/>
      <c r="K114" s="63"/>
      <c r="L114" s="63"/>
    </row>
    <row r="115" spans="1:32" ht="15" customHeight="1" x14ac:dyDescent="0.2">
      <c r="B115" s="63"/>
      <c r="C115" s="63"/>
      <c r="D115" s="63"/>
      <c r="E115" s="81"/>
      <c r="F115" s="81"/>
      <c r="G115" s="81"/>
      <c r="H115" s="63"/>
      <c r="I115" s="63"/>
      <c r="J115" s="63"/>
      <c r="K115" s="63"/>
      <c r="L115" s="63"/>
    </row>
    <row r="116" spans="1:32" ht="15" customHeight="1" x14ac:dyDescent="0.2">
      <c r="B116" s="63"/>
      <c r="C116" s="63"/>
      <c r="D116" s="63"/>
      <c r="E116" s="81"/>
      <c r="F116" s="81"/>
      <c r="G116" s="81"/>
      <c r="H116" s="63"/>
      <c r="I116" s="63"/>
      <c r="J116" s="63"/>
      <c r="K116" s="63"/>
      <c r="L116" s="63"/>
    </row>
    <row r="117" spans="1:32" ht="15" customHeight="1" x14ac:dyDescent="0.2">
      <c r="B117" s="63"/>
      <c r="C117" s="63"/>
      <c r="D117" s="63"/>
      <c r="E117" s="81"/>
      <c r="F117" s="81"/>
      <c r="G117" s="81"/>
      <c r="H117" s="63"/>
      <c r="I117" s="63"/>
      <c r="J117" s="63"/>
      <c r="K117" s="63"/>
      <c r="L117" s="63"/>
    </row>
    <row r="118" spans="1:32" ht="15" customHeight="1" x14ac:dyDescent="0.2">
      <c r="B118" s="63"/>
      <c r="C118" s="63"/>
      <c r="D118" s="63"/>
      <c r="E118" s="81"/>
      <c r="F118" s="81"/>
      <c r="G118" s="81"/>
      <c r="H118" s="63"/>
      <c r="I118" s="63"/>
      <c r="J118" s="63"/>
      <c r="K118" s="63"/>
      <c r="L118" s="63"/>
    </row>
    <row r="119" spans="1:32" ht="15" customHeight="1" x14ac:dyDescent="0.2">
      <c r="B119" s="63"/>
      <c r="C119" s="63"/>
      <c r="D119" s="63"/>
      <c r="E119" s="81"/>
      <c r="F119" s="81"/>
      <c r="G119" s="81"/>
      <c r="H119" s="63"/>
      <c r="I119" s="63"/>
      <c r="J119" s="63"/>
      <c r="K119" s="63"/>
      <c r="L119" s="63"/>
    </row>
    <row r="120" spans="1:32" ht="15" customHeight="1" x14ac:dyDescent="0.2">
      <c r="B120" s="63"/>
      <c r="C120" s="63"/>
      <c r="D120" s="63"/>
      <c r="E120" s="81"/>
      <c r="F120" s="81"/>
      <c r="G120" s="81"/>
      <c r="H120" s="63"/>
      <c r="I120" s="63"/>
      <c r="J120" s="63"/>
      <c r="K120" s="63"/>
      <c r="L120" s="63"/>
    </row>
    <row r="121" spans="1:32" ht="15.75" customHeight="1" x14ac:dyDescent="0.25">
      <c r="A121" s="1"/>
      <c r="B121" s="60"/>
      <c r="C121" s="60"/>
      <c r="D121" s="60"/>
      <c r="E121" s="76"/>
      <c r="F121" s="76"/>
      <c r="G121" s="76"/>
      <c r="H121" s="60"/>
      <c r="I121" s="60"/>
      <c r="J121" s="60"/>
      <c r="K121" s="60"/>
      <c r="L121" s="60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60"/>
      <c r="C122" s="60"/>
      <c r="D122" s="60"/>
      <c r="E122" s="76"/>
      <c r="F122" s="76"/>
      <c r="G122" s="76"/>
      <c r="H122" s="60"/>
      <c r="I122" s="60"/>
      <c r="J122" s="60"/>
      <c r="K122" s="60"/>
      <c r="L122" s="6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60"/>
      <c r="C123" s="60"/>
      <c r="D123" s="60"/>
      <c r="E123" s="76"/>
      <c r="F123" s="76"/>
      <c r="G123" s="76"/>
      <c r="H123" s="60"/>
      <c r="I123" s="60"/>
      <c r="J123" s="60"/>
      <c r="K123" s="60"/>
      <c r="L123" s="6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60"/>
      <c r="C124" s="60"/>
      <c r="D124" s="60"/>
      <c r="E124" s="76"/>
      <c r="F124" s="76"/>
      <c r="G124" s="76"/>
      <c r="H124" s="60"/>
      <c r="I124" s="60"/>
      <c r="J124" s="60"/>
      <c r="K124" s="60"/>
      <c r="L124" s="6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60"/>
      <c r="C125" s="60"/>
      <c r="D125" s="60"/>
      <c r="E125" s="76"/>
      <c r="F125" s="76"/>
      <c r="G125" s="76"/>
      <c r="H125" s="60"/>
      <c r="I125" s="60"/>
      <c r="J125" s="60"/>
      <c r="K125" s="60"/>
      <c r="L125" s="6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60"/>
      <c r="C126" s="60"/>
      <c r="D126" s="60"/>
      <c r="E126" s="76"/>
      <c r="F126" s="76"/>
      <c r="G126" s="76"/>
      <c r="H126" s="60"/>
      <c r="I126" s="60"/>
      <c r="J126" s="60"/>
      <c r="K126" s="60"/>
      <c r="L126" s="6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60"/>
      <c r="C127" s="60"/>
      <c r="D127" s="60"/>
      <c r="E127" s="76"/>
      <c r="F127" s="76"/>
      <c r="G127" s="76"/>
      <c r="H127" s="60"/>
      <c r="I127" s="60"/>
      <c r="J127" s="60"/>
      <c r="K127" s="60"/>
      <c r="L127" s="64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60"/>
      <c r="C128" s="60"/>
      <c r="D128" s="60"/>
      <c r="E128" s="76"/>
      <c r="F128" s="76"/>
      <c r="G128" s="76"/>
      <c r="H128" s="60"/>
      <c r="I128" s="60"/>
      <c r="J128" s="60"/>
      <c r="K128" s="60"/>
      <c r="L128" s="6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60"/>
      <c r="C129" s="60"/>
      <c r="D129" s="60"/>
      <c r="E129" s="76"/>
      <c r="F129" s="76"/>
      <c r="G129" s="76"/>
      <c r="H129" s="60"/>
      <c r="I129" s="60"/>
      <c r="J129" s="60"/>
      <c r="K129" s="60"/>
      <c r="L129" s="6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60"/>
      <c r="C130" s="60"/>
      <c r="D130" s="60"/>
      <c r="E130" s="76"/>
      <c r="F130" s="76"/>
      <c r="G130" s="76"/>
      <c r="H130" s="60"/>
      <c r="I130" s="60"/>
      <c r="J130" s="60"/>
      <c r="K130" s="60"/>
      <c r="L130" s="6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60"/>
      <c r="C131" s="60"/>
      <c r="D131" s="60"/>
      <c r="E131" s="76"/>
      <c r="F131" s="76"/>
      <c r="G131" s="76"/>
      <c r="H131" s="60"/>
      <c r="I131" s="60"/>
      <c r="J131" s="60"/>
      <c r="K131" s="60"/>
      <c r="L131" s="6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60"/>
      <c r="C132" s="60"/>
      <c r="D132" s="60"/>
      <c r="E132" s="76"/>
      <c r="F132" s="76"/>
      <c r="G132" s="76"/>
      <c r="H132" s="60"/>
      <c r="I132" s="60"/>
      <c r="J132" s="60"/>
      <c r="K132" s="60"/>
      <c r="L132" s="6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60"/>
      <c r="C133" s="60"/>
      <c r="D133" s="60"/>
      <c r="E133" s="76"/>
      <c r="F133" s="76"/>
      <c r="G133" s="76"/>
      <c r="H133" s="60"/>
      <c r="I133" s="60"/>
      <c r="J133" s="60"/>
      <c r="K133" s="60"/>
      <c r="L133" s="6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60"/>
      <c r="C134" s="60"/>
      <c r="D134" s="60"/>
      <c r="E134" s="76"/>
      <c r="F134" s="76"/>
      <c r="G134" s="76"/>
      <c r="H134" s="60"/>
      <c r="I134" s="60"/>
      <c r="J134" s="60"/>
      <c r="K134" s="60"/>
      <c r="L134" s="60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60"/>
      <c r="C135" s="60"/>
      <c r="D135" s="60"/>
      <c r="E135" s="76"/>
      <c r="F135" s="76"/>
      <c r="G135" s="76"/>
      <c r="H135" s="60"/>
      <c r="I135" s="60"/>
      <c r="J135" s="60"/>
      <c r="K135" s="60"/>
      <c r="L135" s="6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60"/>
      <c r="C136" s="60"/>
      <c r="D136" s="60"/>
      <c r="E136" s="76"/>
      <c r="F136" s="76"/>
      <c r="G136" s="76"/>
      <c r="H136" s="60"/>
      <c r="I136" s="60"/>
      <c r="J136" s="60"/>
      <c r="K136" s="60"/>
      <c r="L136" s="6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60"/>
      <c r="C137" s="60"/>
      <c r="D137" s="60"/>
      <c r="E137" s="76"/>
      <c r="F137" s="76"/>
      <c r="G137" s="76"/>
      <c r="H137" s="60"/>
      <c r="I137" s="60"/>
      <c r="J137" s="60"/>
      <c r="K137" s="60"/>
      <c r="L137" s="6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60"/>
      <c r="C138" s="60"/>
      <c r="D138" s="60"/>
      <c r="E138" s="76"/>
      <c r="F138" s="76"/>
      <c r="G138" s="76"/>
      <c r="H138" s="60"/>
      <c r="I138" s="60"/>
      <c r="J138" s="60"/>
      <c r="K138" s="60"/>
      <c r="L138" s="60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25">
      <c r="A139" s="1"/>
      <c r="B139" s="60"/>
      <c r="C139" s="60"/>
      <c r="D139" s="60"/>
      <c r="E139" s="76"/>
      <c r="F139" s="76"/>
      <c r="G139" s="76"/>
      <c r="H139" s="60"/>
      <c r="I139" s="60"/>
      <c r="J139" s="60"/>
      <c r="K139" s="60"/>
      <c r="L139" s="60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25">
      <c r="A140" s="1"/>
      <c r="B140" s="60"/>
      <c r="C140" s="60"/>
      <c r="D140" s="60"/>
      <c r="E140" s="76"/>
      <c r="F140" s="76"/>
      <c r="G140" s="76"/>
      <c r="H140" s="60"/>
      <c r="I140" s="60"/>
      <c r="J140" s="60"/>
      <c r="K140" s="60"/>
      <c r="L140" s="60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25">
      <c r="A141" s="1"/>
      <c r="B141" s="60"/>
      <c r="C141" s="60"/>
      <c r="D141" s="60"/>
      <c r="E141" s="76"/>
      <c r="F141" s="76"/>
      <c r="G141" s="76"/>
      <c r="H141" s="60"/>
      <c r="I141" s="60"/>
      <c r="J141" s="60"/>
      <c r="K141" s="60"/>
      <c r="L141" s="6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25">
      <c r="A142" s="1"/>
      <c r="B142" s="60"/>
      <c r="C142" s="60"/>
      <c r="D142" s="60"/>
      <c r="E142" s="76"/>
      <c r="F142" s="76"/>
      <c r="G142" s="76"/>
      <c r="H142" s="60"/>
      <c r="I142" s="60"/>
      <c r="J142" s="60"/>
      <c r="K142" s="60"/>
      <c r="L142" s="6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25">
      <c r="A143" s="1"/>
      <c r="B143" s="60"/>
      <c r="C143" s="60"/>
      <c r="D143" s="60"/>
      <c r="E143" s="76"/>
      <c r="F143" s="76"/>
      <c r="G143" s="76"/>
      <c r="H143" s="60"/>
      <c r="I143" s="60"/>
      <c r="J143" s="60"/>
      <c r="K143" s="60"/>
      <c r="L143" s="60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25">
      <c r="A144" s="1"/>
      <c r="B144" s="60"/>
      <c r="C144" s="60"/>
      <c r="D144" s="60"/>
      <c r="E144" s="76"/>
      <c r="F144" s="76"/>
      <c r="G144" s="76"/>
      <c r="H144" s="60"/>
      <c r="I144" s="60"/>
      <c r="J144" s="60"/>
      <c r="K144" s="60"/>
      <c r="L144" s="60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25">
      <c r="A145" s="1"/>
      <c r="B145" s="60"/>
      <c r="C145" s="60"/>
      <c r="D145" s="60"/>
      <c r="E145" s="76"/>
      <c r="F145" s="76"/>
      <c r="G145" s="76"/>
      <c r="H145" s="60"/>
      <c r="I145" s="60"/>
      <c r="J145" s="60"/>
      <c r="K145" s="60"/>
      <c r="L145" s="60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25">
      <c r="A146" s="1"/>
      <c r="B146" s="60"/>
      <c r="C146" s="60"/>
      <c r="D146" s="60"/>
      <c r="E146" s="76"/>
      <c r="F146" s="76"/>
      <c r="G146" s="76"/>
      <c r="H146" s="60"/>
      <c r="I146" s="60"/>
      <c r="J146" s="60"/>
      <c r="K146" s="60"/>
      <c r="L146" s="6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25">
      <c r="A147" s="1"/>
      <c r="B147" s="60"/>
      <c r="C147" s="60"/>
      <c r="D147" s="60"/>
      <c r="E147" s="76"/>
      <c r="F147" s="76"/>
      <c r="G147" s="76"/>
      <c r="H147" s="60"/>
      <c r="I147" s="60"/>
      <c r="J147" s="60"/>
      <c r="K147" s="60"/>
      <c r="L147" s="6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25">
      <c r="A148" s="1"/>
      <c r="B148" s="60"/>
      <c r="C148" s="60"/>
      <c r="D148" s="60"/>
      <c r="E148" s="76"/>
      <c r="F148" s="76"/>
      <c r="G148" s="76"/>
      <c r="H148" s="60"/>
      <c r="I148" s="60"/>
      <c r="J148" s="60"/>
      <c r="K148" s="60"/>
      <c r="L148" s="60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25">
      <c r="A149" s="1"/>
      <c r="B149" s="60"/>
      <c r="C149" s="60"/>
      <c r="D149" s="60"/>
      <c r="E149" s="76"/>
      <c r="F149" s="76"/>
      <c r="G149" s="76"/>
      <c r="H149" s="60"/>
      <c r="I149" s="60"/>
      <c r="J149" s="60"/>
      <c r="K149" s="60"/>
      <c r="L149" s="60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25">
      <c r="A150" s="1"/>
      <c r="B150" s="60"/>
      <c r="C150" s="60"/>
      <c r="D150" s="60"/>
      <c r="E150" s="76"/>
      <c r="F150" s="76"/>
      <c r="G150" s="76"/>
      <c r="H150" s="60"/>
      <c r="I150" s="60"/>
      <c r="J150" s="60"/>
      <c r="K150" s="60"/>
      <c r="L150" s="60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25">
      <c r="A151" s="1"/>
      <c r="B151" s="60"/>
      <c r="C151" s="60"/>
      <c r="D151" s="60"/>
      <c r="E151" s="76"/>
      <c r="F151" s="76"/>
      <c r="G151" s="76"/>
      <c r="H151" s="60"/>
      <c r="I151" s="60"/>
      <c r="J151" s="60"/>
      <c r="K151" s="60"/>
      <c r="L151" s="60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25">
      <c r="A152" s="1"/>
      <c r="B152" s="60"/>
      <c r="C152" s="60"/>
      <c r="D152" s="60"/>
      <c r="E152" s="76"/>
      <c r="F152" s="76"/>
      <c r="G152" s="76"/>
      <c r="H152" s="60"/>
      <c r="I152" s="60"/>
      <c r="J152" s="60"/>
      <c r="K152" s="60"/>
      <c r="L152" s="6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25">
      <c r="A153" s="1"/>
      <c r="B153" s="60"/>
      <c r="C153" s="60"/>
      <c r="D153" s="60"/>
      <c r="E153" s="76"/>
      <c r="F153" s="76"/>
      <c r="G153" s="76"/>
      <c r="H153" s="60"/>
      <c r="I153" s="60"/>
      <c r="J153" s="60"/>
      <c r="K153" s="60"/>
      <c r="L153" s="60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25">
      <c r="A154" s="1"/>
      <c r="B154" s="60"/>
      <c r="C154" s="60"/>
      <c r="D154" s="60"/>
      <c r="E154" s="76"/>
      <c r="F154" s="76"/>
      <c r="G154" s="76"/>
      <c r="H154" s="60"/>
      <c r="I154" s="60"/>
      <c r="J154" s="60"/>
      <c r="K154" s="60"/>
      <c r="L154" s="60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25">
      <c r="A155" s="1"/>
      <c r="B155" s="60"/>
      <c r="C155" s="60"/>
      <c r="D155" s="60"/>
      <c r="E155" s="76"/>
      <c r="F155" s="76"/>
      <c r="G155" s="76"/>
      <c r="H155" s="60"/>
      <c r="I155" s="60"/>
      <c r="J155" s="60"/>
      <c r="K155" s="60"/>
      <c r="L155" s="60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25">
      <c r="A156" s="1"/>
      <c r="B156" s="60"/>
      <c r="C156" s="60"/>
      <c r="D156" s="60"/>
      <c r="E156" s="76"/>
      <c r="F156" s="76"/>
      <c r="G156" s="76"/>
      <c r="H156" s="60"/>
      <c r="I156" s="60"/>
      <c r="J156" s="60"/>
      <c r="K156" s="60"/>
      <c r="L156" s="60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25">
      <c r="A157" s="1"/>
      <c r="B157" s="60"/>
      <c r="C157" s="60"/>
      <c r="D157" s="60"/>
      <c r="E157" s="76"/>
      <c r="F157" s="76"/>
      <c r="G157" s="76"/>
      <c r="H157" s="60"/>
      <c r="I157" s="60"/>
      <c r="J157" s="60"/>
      <c r="K157" s="60"/>
      <c r="L157" s="60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25">
      <c r="A158" s="1"/>
      <c r="B158" s="60"/>
      <c r="C158" s="60"/>
      <c r="D158" s="60"/>
      <c r="E158" s="76"/>
      <c r="F158" s="76"/>
      <c r="G158" s="76"/>
      <c r="H158" s="60"/>
      <c r="I158" s="60"/>
      <c r="J158" s="60"/>
      <c r="K158" s="60"/>
      <c r="L158" s="60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25">
      <c r="A159" s="1"/>
      <c r="B159" s="60"/>
      <c r="C159" s="60"/>
      <c r="D159" s="60"/>
      <c r="E159" s="76"/>
      <c r="F159" s="76"/>
      <c r="G159" s="76"/>
      <c r="H159" s="60"/>
      <c r="I159" s="60"/>
      <c r="J159" s="60"/>
      <c r="K159" s="60"/>
      <c r="L159" s="60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25">
      <c r="A160" s="1"/>
      <c r="B160" s="60"/>
      <c r="C160" s="60"/>
      <c r="D160" s="60"/>
      <c r="E160" s="76"/>
      <c r="F160" s="76"/>
      <c r="G160" s="76"/>
      <c r="H160" s="60"/>
      <c r="I160" s="60"/>
      <c r="J160" s="60"/>
      <c r="K160" s="60"/>
      <c r="L160" s="60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25">
      <c r="A161" s="1"/>
      <c r="B161" s="60"/>
      <c r="C161" s="60"/>
      <c r="D161" s="60"/>
      <c r="E161" s="76"/>
      <c r="F161" s="76"/>
      <c r="G161" s="76"/>
      <c r="H161" s="60"/>
      <c r="I161" s="60"/>
      <c r="J161" s="60"/>
      <c r="K161" s="60"/>
      <c r="L161" s="6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25">
      <c r="A162" s="1"/>
      <c r="B162" s="60"/>
      <c r="C162" s="60"/>
      <c r="D162" s="60"/>
      <c r="E162" s="76"/>
      <c r="F162" s="76"/>
      <c r="G162" s="76"/>
      <c r="H162" s="60"/>
      <c r="I162" s="60"/>
      <c r="J162" s="60"/>
      <c r="K162" s="60"/>
      <c r="L162" s="60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25">
      <c r="A163" s="1"/>
      <c r="B163" s="60"/>
      <c r="C163" s="60"/>
      <c r="D163" s="60"/>
      <c r="E163" s="76"/>
      <c r="F163" s="76"/>
      <c r="G163" s="76"/>
      <c r="H163" s="60"/>
      <c r="I163" s="60"/>
      <c r="J163" s="60"/>
      <c r="K163" s="60"/>
      <c r="L163" s="60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25">
      <c r="A164" s="1"/>
      <c r="B164" s="60"/>
      <c r="C164" s="60"/>
      <c r="D164" s="60"/>
      <c r="E164" s="76"/>
      <c r="F164" s="76"/>
      <c r="G164" s="76"/>
      <c r="H164" s="60"/>
      <c r="I164" s="60"/>
      <c r="J164" s="60"/>
      <c r="K164" s="60"/>
      <c r="L164" s="60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25">
      <c r="A165" s="1"/>
      <c r="B165" s="60"/>
      <c r="C165" s="60"/>
      <c r="D165" s="60"/>
      <c r="E165" s="76"/>
      <c r="F165" s="76"/>
      <c r="G165" s="76"/>
      <c r="H165" s="60"/>
      <c r="I165" s="60"/>
      <c r="J165" s="60"/>
      <c r="K165" s="60"/>
      <c r="L165" s="6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25">
      <c r="A166" s="1"/>
      <c r="B166" s="60"/>
      <c r="C166" s="60"/>
      <c r="D166" s="60"/>
      <c r="E166" s="76"/>
      <c r="F166" s="76"/>
      <c r="G166" s="76"/>
      <c r="H166" s="60"/>
      <c r="I166" s="60"/>
      <c r="J166" s="60"/>
      <c r="K166" s="60"/>
      <c r="L166" s="60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25">
      <c r="A167" s="1"/>
      <c r="B167" s="60"/>
      <c r="C167" s="60"/>
      <c r="D167" s="60"/>
      <c r="E167" s="76"/>
      <c r="F167" s="76"/>
      <c r="G167" s="76"/>
      <c r="H167" s="60"/>
      <c r="I167" s="60"/>
      <c r="J167" s="60"/>
      <c r="K167" s="60"/>
      <c r="L167" s="6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25">
      <c r="A168" s="1"/>
      <c r="B168" s="60"/>
      <c r="C168" s="60"/>
      <c r="D168" s="60"/>
      <c r="E168" s="76"/>
      <c r="F168" s="76"/>
      <c r="G168" s="76"/>
      <c r="H168" s="60"/>
      <c r="I168" s="60"/>
      <c r="J168" s="60"/>
      <c r="K168" s="60"/>
      <c r="L168" s="6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25">
      <c r="A169" s="1"/>
      <c r="B169" s="60"/>
      <c r="C169" s="60"/>
      <c r="D169" s="60"/>
      <c r="E169" s="76"/>
      <c r="F169" s="76"/>
      <c r="G169" s="76"/>
      <c r="H169" s="60"/>
      <c r="I169" s="60"/>
      <c r="J169" s="60"/>
      <c r="K169" s="60"/>
      <c r="L169" s="60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25">
      <c r="A170" s="1"/>
      <c r="B170" s="60"/>
      <c r="C170" s="60"/>
      <c r="D170" s="60"/>
      <c r="E170" s="76"/>
      <c r="F170" s="76"/>
      <c r="G170" s="76"/>
      <c r="H170" s="60"/>
      <c r="I170" s="60"/>
      <c r="J170" s="60"/>
      <c r="K170" s="60"/>
      <c r="L170" s="6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25">
      <c r="A171" s="1"/>
      <c r="B171" s="60"/>
      <c r="C171" s="60"/>
      <c r="D171" s="60"/>
      <c r="E171" s="76"/>
      <c r="F171" s="76"/>
      <c r="G171" s="76"/>
      <c r="H171" s="60"/>
      <c r="I171" s="60"/>
      <c r="J171" s="60"/>
      <c r="K171" s="60"/>
      <c r="L171" s="60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25">
      <c r="A172" s="1"/>
      <c r="B172" s="60"/>
      <c r="C172" s="60"/>
      <c r="D172" s="60"/>
      <c r="E172" s="76"/>
      <c r="F172" s="76"/>
      <c r="G172" s="76"/>
      <c r="H172" s="60"/>
      <c r="I172" s="60"/>
      <c r="J172" s="60"/>
      <c r="K172" s="60"/>
      <c r="L172" s="6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25">
      <c r="A173" s="1"/>
      <c r="B173" s="60"/>
      <c r="C173" s="60"/>
      <c r="D173" s="60"/>
      <c r="E173" s="76"/>
      <c r="F173" s="76"/>
      <c r="G173" s="76"/>
      <c r="H173" s="60"/>
      <c r="I173" s="60"/>
      <c r="J173" s="60"/>
      <c r="K173" s="60"/>
      <c r="L173" s="60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25">
      <c r="A174" s="1"/>
      <c r="B174" s="60"/>
      <c r="C174" s="60"/>
      <c r="D174" s="60"/>
      <c r="E174" s="76"/>
      <c r="F174" s="76"/>
      <c r="G174" s="76"/>
      <c r="H174" s="60"/>
      <c r="I174" s="60"/>
      <c r="J174" s="60"/>
      <c r="K174" s="60"/>
      <c r="L174" s="6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25">
      <c r="A175" s="1"/>
      <c r="B175" s="60"/>
      <c r="C175" s="60"/>
      <c r="D175" s="60"/>
      <c r="E175" s="76"/>
      <c r="F175" s="76"/>
      <c r="G175" s="76"/>
      <c r="H175" s="60"/>
      <c r="I175" s="60"/>
      <c r="J175" s="60"/>
      <c r="K175" s="60"/>
      <c r="L175" s="6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25">
      <c r="A176" s="1"/>
      <c r="B176" s="60"/>
      <c r="C176" s="60"/>
      <c r="D176" s="60"/>
      <c r="E176" s="76"/>
      <c r="F176" s="76"/>
      <c r="G176" s="76"/>
      <c r="H176" s="60"/>
      <c r="I176" s="60"/>
      <c r="J176" s="60"/>
      <c r="K176" s="60"/>
      <c r="L176" s="60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25">
      <c r="A177" s="1"/>
      <c r="B177" s="60"/>
      <c r="C177" s="60"/>
      <c r="D177" s="60"/>
      <c r="E177" s="76"/>
      <c r="F177" s="76"/>
      <c r="G177" s="76"/>
      <c r="H177" s="60"/>
      <c r="I177" s="60"/>
      <c r="J177" s="60"/>
      <c r="K177" s="60"/>
      <c r="L177" s="60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25">
      <c r="A178" s="1"/>
      <c r="B178" s="60"/>
      <c r="C178" s="60"/>
      <c r="D178" s="60"/>
      <c r="E178" s="76"/>
      <c r="F178" s="76"/>
      <c r="G178" s="76"/>
      <c r="H178" s="60"/>
      <c r="I178" s="60"/>
      <c r="J178" s="60"/>
      <c r="K178" s="60"/>
      <c r="L178" s="60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25">
      <c r="A179" s="1"/>
      <c r="B179" s="60"/>
      <c r="C179" s="60"/>
      <c r="D179" s="60"/>
      <c r="E179" s="76"/>
      <c r="F179" s="76"/>
      <c r="G179" s="76"/>
      <c r="H179" s="60"/>
      <c r="I179" s="60"/>
      <c r="J179" s="60"/>
      <c r="K179" s="60"/>
      <c r="L179" s="6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25">
      <c r="A180" s="1"/>
      <c r="B180" s="60"/>
      <c r="C180" s="60"/>
      <c r="D180" s="60"/>
      <c r="E180" s="76"/>
      <c r="F180" s="76"/>
      <c r="G180" s="76"/>
      <c r="H180" s="60"/>
      <c r="I180" s="60"/>
      <c r="J180" s="60"/>
      <c r="K180" s="60"/>
      <c r="L180" s="60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25">
      <c r="A181" s="1"/>
      <c r="B181" s="60"/>
      <c r="C181" s="60"/>
      <c r="D181" s="60"/>
      <c r="E181" s="76"/>
      <c r="F181" s="76"/>
      <c r="G181" s="76"/>
      <c r="H181" s="60"/>
      <c r="I181" s="60"/>
      <c r="J181" s="60"/>
      <c r="K181" s="60"/>
      <c r="L181" s="6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25">
      <c r="A182" s="1"/>
      <c r="B182" s="60"/>
      <c r="C182" s="60"/>
      <c r="D182" s="60"/>
      <c r="E182" s="76"/>
      <c r="F182" s="76"/>
      <c r="G182" s="76"/>
      <c r="H182" s="60"/>
      <c r="I182" s="60"/>
      <c r="J182" s="60"/>
      <c r="K182" s="60"/>
      <c r="L182" s="60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25">
      <c r="A183" s="1"/>
      <c r="B183" s="60"/>
      <c r="C183" s="60"/>
      <c r="D183" s="60"/>
      <c r="E183" s="76"/>
      <c r="F183" s="76"/>
      <c r="G183" s="76"/>
      <c r="H183" s="60"/>
      <c r="I183" s="60"/>
      <c r="J183" s="60"/>
      <c r="K183" s="60"/>
      <c r="L183" s="6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25">
      <c r="A184" s="1"/>
      <c r="B184" s="60"/>
      <c r="C184" s="60"/>
      <c r="D184" s="60"/>
      <c r="E184" s="76"/>
      <c r="F184" s="76"/>
      <c r="G184" s="76"/>
      <c r="H184" s="60"/>
      <c r="I184" s="60"/>
      <c r="J184" s="60"/>
      <c r="K184" s="60"/>
      <c r="L184" s="6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25">
      <c r="A185" s="1"/>
      <c r="B185" s="60"/>
      <c r="C185" s="60"/>
      <c r="D185" s="60"/>
      <c r="E185" s="76"/>
      <c r="F185" s="76"/>
      <c r="G185" s="76"/>
      <c r="H185" s="60"/>
      <c r="I185" s="60"/>
      <c r="J185" s="60"/>
      <c r="K185" s="60"/>
      <c r="L185" s="6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25">
      <c r="A186" s="1"/>
      <c r="B186" s="60"/>
      <c r="C186" s="60"/>
      <c r="D186" s="60"/>
      <c r="E186" s="76"/>
      <c r="F186" s="76"/>
      <c r="G186" s="76"/>
      <c r="H186" s="60"/>
      <c r="I186" s="60"/>
      <c r="J186" s="60"/>
      <c r="K186" s="60"/>
      <c r="L186" s="6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25">
      <c r="A187" s="1"/>
      <c r="B187" s="60"/>
      <c r="C187" s="60"/>
      <c r="D187" s="60"/>
      <c r="E187" s="76"/>
      <c r="F187" s="76"/>
      <c r="G187" s="76"/>
      <c r="H187" s="60"/>
      <c r="I187" s="60"/>
      <c r="J187" s="60"/>
      <c r="K187" s="60"/>
      <c r="L187" s="60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25">
      <c r="A188" s="1"/>
      <c r="B188" s="60"/>
      <c r="C188" s="60"/>
      <c r="D188" s="60"/>
      <c r="E188" s="76"/>
      <c r="F188" s="76"/>
      <c r="G188" s="76"/>
      <c r="H188" s="60"/>
      <c r="I188" s="60"/>
      <c r="J188" s="60"/>
      <c r="K188" s="60"/>
      <c r="L188" s="6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25">
      <c r="A189" s="1"/>
      <c r="B189" s="60"/>
      <c r="C189" s="60"/>
      <c r="D189" s="60"/>
      <c r="E189" s="76"/>
      <c r="F189" s="76"/>
      <c r="G189" s="76"/>
      <c r="H189" s="60"/>
      <c r="I189" s="60"/>
      <c r="J189" s="60"/>
      <c r="K189" s="60"/>
      <c r="L189" s="6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25">
      <c r="A190" s="1"/>
      <c r="B190" s="60"/>
      <c r="C190" s="60"/>
      <c r="D190" s="60"/>
      <c r="E190" s="76"/>
      <c r="F190" s="76"/>
      <c r="G190" s="76"/>
      <c r="H190" s="60"/>
      <c r="I190" s="60"/>
      <c r="J190" s="60"/>
      <c r="K190" s="60"/>
      <c r="L190" s="6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25">
      <c r="A191" s="1"/>
      <c r="B191" s="60"/>
      <c r="C191" s="60"/>
      <c r="D191" s="60"/>
      <c r="E191" s="76"/>
      <c r="F191" s="76"/>
      <c r="G191" s="76"/>
      <c r="H191" s="60"/>
      <c r="I191" s="60"/>
      <c r="J191" s="60"/>
      <c r="K191" s="60"/>
      <c r="L191" s="60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25">
      <c r="A192" s="1"/>
      <c r="B192" s="60"/>
      <c r="C192" s="60"/>
      <c r="D192" s="60"/>
      <c r="E192" s="76"/>
      <c r="F192" s="76"/>
      <c r="G192" s="76"/>
      <c r="H192" s="60"/>
      <c r="I192" s="60"/>
      <c r="J192" s="60"/>
      <c r="K192" s="60"/>
      <c r="L192" s="6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25">
      <c r="A193" s="1"/>
      <c r="B193" s="60"/>
      <c r="C193" s="60"/>
      <c r="D193" s="60"/>
      <c r="E193" s="76"/>
      <c r="F193" s="76"/>
      <c r="G193" s="76"/>
      <c r="H193" s="60"/>
      <c r="I193" s="60"/>
      <c r="J193" s="60"/>
      <c r="K193" s="60"/>
      <c r="L193" s="6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25">
      <c r="A194" s="1"/>
      <c r="B194" s="60"/>
      <c r="C194" s="60"/>
      <c r="D194" s="60"/>
      <c r="E194" s="76"/>
      <c r="F194" s="76"/>
      <c r="G194" s="76"/>
      <c r="H194" s="60"/>
      <c r="I194" s="60"/>
      <c r="J194" s="60"/>
      <c r="K194" s="60"/>
      <c r="L194" s="6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25">
      <c r="A195" s="1"/>
      <c r="B195" s="60"/>
      <c r="C195" s="60"/>
      <c r="D195" s="60"/>
      <c r="E195" s="76"/>
      <c r="F195" s="76"/>
      <c r="G195" s="76"/>
      <c r="H195" s="60"/>
      <c r="I195" s="60"/>
      <c r="J195" s="60"/>
      <c r="K195" s="60"/>
      <c r="L195" s="6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25">
      <c r="A196" s="1"/>
      <c r="B196" s="60"/>
      <c r="C196" s="60"/>
      <c r="D196" s="60"/>
      <c r="E196" s="76"/>
      <c r="F196" s="76"/>
      <c r="G196" s="76"/>
      <c r="H196" s="60"/>
      <c r="I196" s="60"/>
      <c r="J196" s="60"/>
      <c r="K196" s="60"/>
      <c r="L196" s="6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25">
      <c r="A197" s="1"/>
      <c r="B197" s="60"/>
      <c r="C197" s="60"/>
      <c r="D197" s="60"/>
      <c r="E197" s="76"/>
      <c r="F197" s="76"/>
      <c r="G197" s="76"/>
      <c r="H197" s="60"/>
      <c r="I197" s="60"/>
      <c r="J197" s="60"/>
      <c r="K197" s="60"/>
      <c r="L197" s="60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25">
      <c r="A198" s="1"/>
      <c r="B198" s="60"/>
      <c r="C198" s="60"/>
      <c r="D198" s="60"/>
      <c r="E198" s="76"/>
      <c r="F198" s="76"/>
      <c r="G198" s="76"/>
      <c r="H198" s="60"/>
      <c r="I198" s="60"/>
      <c r="J198" s="60"/>
      <c r="K198" s="60"/>
      <c r="L198" s="60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25">
      <c r="A199" s="1"/>
      <c r="B199" s="60"/>
      <c r="C199" s="60"/>
      <c r="D199" s="60"/>
      <c r="E199" s="76"/>
      <c r="F199" s="76"/>
      <c r="G199" s="76"/>
      <c r="H199" s="60"/>
      <c r="I199" s="60"/>
      <c r="J199" s="60"/>
      <c r="K199" s="60"/>
      <c r="L199" s="60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25">
      <c r="A200" s="1"/>
      <c r="B200" s="60"/>
      <c r="C200" s="60"/>
      <c r="D200" s="60"/>
      <c r="E200" s="76"/>
      <c r="F200" s="76"/>
      <c r="G200" s="76"/>
      <c r="H200" s="60"/>
      <c r="I200" s="60"/>
      <c r="J200" s="60"/>
      <c r="K200" s="60"/>
      <c r="L200" s="60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25">
      <c r="A201" s="1"/>
      <c r="B201" s="60"/>
      <c r="C201" s="60"/>
      <c r="D201" s="60"/>
      <c r="E201" s="76"/>
      <c r="F201" s="76"/>
      <c r="G201" s="76"/>
      <c r="H201" s="60"/>
      <c r="I201" s="60"/>
      <c r="J201" s="60"/>
      <c r="K201" s="60"/>
      <c r="L201" s="60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 x14ac:dyDescent="0.25">
      <c r="A202" s="1"/>
      <c r="B202" s="60"/>
      <c r="C202" s="60"/>
      <c r="D202" s="60"/>
      <c r="E202" s="76"/>
      <c r="F202" s="76"/>
      <c r="G202" s="76"/>
      <c r="H202" s="60"/>
      <c r="I202" s="60"/>
      <c r="J202" s="60"/>
      <c r="K202" s="60"/>
      <c r="L202" s="6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 x14ac:dyDescent="0.25">
      <c r="A203" s="1"/>
      <c r="B203" s="60"/>
      <c r="C203" s="60"/>
      <c r="D203" s="60"/>
      <c r="E203" s="76"/>
      <c r="F203" s="76"/>
      <c r="G203" s="76"/>
      <c r="H203" s="60"/>
      <c r="I203" s="60"/>
      <c r="J203" s="60"/>
      <c r="K203" s="60"/>
      <c r="L203" s="6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 x14ac:dyDescent="0.25">
      <c r="A204" s="1"/>
      <c r="B204" s="60"/>
      <c r="C204" s="60"/>
      <c r="D204" s="60"/>
      <c r="E204" s="76"/>
      <c r="F204" s="76"/>
      <c r="G204" s="76"/>
      <c r="H204" s="60"/>
      <c r="I204" s="60"/>
      <c r="J204" s="60"/>
      <c r="K204" s="60"/>
      <c r="L204" s="60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4.25" customHeight="1" x14ac:dyDescent="0.2"/>
    <row r="319" spans="1:32" ht="14.25" customHeight="1" x14ac:dyDescent="0.2"/>
    <row r="320" spans="1:32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  <row r="1007" ht="14.25" customHeight="1" x14ac:dyDescent="0.2"/>
    <row r="1008" ht="14.25" customHeight="1" x14ac:dyDescent="0.2"/>
    <row r="1009" ht="14.25" customHeight="1" x14ac:dyDescent="0.2"/>
    <row r="1010" ht="14.25" customHeight="1" x14ac:dyDescent="0.2"/>
    <row r="1011" ht="14.25" customHeight="1" x14ac:dyDescent="0.2"/>
    <row r="1012" ht="14.25" customHeight="1" x14ac:dyDescent="0.2"/>
    <row r="1013" ht="14.25" customHeight="1" x14ac:dyDescent="0.2"/>
    <row r="1014" ht="14.25" customHeight="1" x14ac:dyDescent="0.2"/>
    <row r="1015" ht="14.25" customHeight="1" x14ac:dyDescent="0.2"/>
    <row r="1016" ht="14.25" customHeight="1" x14ac:dyDescent="0.2"/>
    <row r="1017" ht="14.25" customHeight="1" x14ac:dyDescent="0.2"/>
    <row r="1018" ht="14.25" customHeight="1" x14ac:dyDescent="0.2"/>
    <row r="1019" ht="14.25" customHeight="1" x14ac:dyDescent="0.2"/>
    <row r="1020" ht="14.25" customHeight="1" x14ac:dyDescent="0.2"/>
    <row r="1021" ht="14.25" customHeight="1" x14ac:dyDescent="0.2"/>
    <row r="1022" ht="14.25" customHeight="1" x14ac:dyDescent="0.2"/>
    <row r="1023" ht="14.25" customHeight="1" x14ac:dyDescent="0.2"/>
    <row r="1024" ht="14.25" customHeight="1" x14ac:dyDescent="0.2"/>
    <row r="1025" ht="14.25" customHeight="1" x14ac:dyDescent="0.2"/>
    <row r="1026" ht="14.25" customHeight="1" x14ac:dyDescent="0.2"/>
    <row r="1027" ht="14.25" customHeight="1" x14ac:dyDescent="0.2"/>
    <row r="1028" ht="14.25" customHeight="1" x14ac:dyDescent="0.2"/>
    <row r="1029" ht="14.25" customHeight="1" x14ac:dyDescent="0.2"/>
    <row r="1030" ht="14.25" customHeight="1" x14ac:dyDescent="0.2"/>
    <row r="1031" ht="14.25" customHeight="1" x14ac:dyDescent="0.2"/>
    <row r="1032" ht="14.25" customHeight="1" x14ac:dyDescent="0.2"/>
    <row r="1033" ht="14.25" customHeight="1" x14ac:dyDescent="0.2"/>
    <row r="1034" ht="14.25" customHeight="1" x14ac:dyDescent="0.2"/>
    <row r="1035" ht="14.25" customHeight="1" x14ac:dyDescent="0.2"/>
    <row r="1036" ht="14.25" customHeight="1" x14ac:dyDescent="0.2"/>
    <row r="1037" ht="14.25" customHeight="1" x14ac:dyDescent="0.2"/>
    <row r="1038" ht="14.25" customHeight="1" x14ac:dyDescent="0.2"/>
    <row r="1039" ht="14.25" customHeight="1" x14ac:dyDescent="0.2"/>
  </sheetData>
  <mergeCells count="33">
    <mergeCell ref="B6:L6"/>
    <mergeCell ref="B82:L82"/>
    <mergeCell ref="A67:L67"/>
    <mergeCell ref="B93:L93"/>
    <mergeCell ref="B105:L105"/>
    <mergeCell ref="B89:L89"/>
    <mergeCell ref="B49:L49"/>
    <mergeCell ref="B97:L97"/>
    <mergeCell ref="B101:L101"/>
    <mergeCell ref="G69:G71"/>
    <mergeCell ref="H69:H71"/>
    <mergeCell ref="I69:I71"/>
    <mergeCell ref="J69:J71"/>
    <mergeCell ref="K69:K71"/>
    <mergeCell ref="L69:L71"/>
    <mergeCell ref="B69:B71"/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C69:C71"/>
    <mergeCell ref="D69:D71"/>
    <mergeCell ref="E69:E71"/>
    <mergeCell ref="F69:F71"/>
    <mergeCell ref="B72:L72"/>
  </mergeCells>
  <printOptions horizontalCentered="1"/>
  <pageMargins left="0.31496062992125984" right="0.31496062992125984" top="0.39370078740157483" bottom="0.39370078740157483" header="0" footer="0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1039"/>
  <sheetViews>
    <sheetView topLeftCell="E57" zoomScaleNormal="100" workbookViewId="0">
      <selection activeCell="E57" sqref="E57"/>
    </sheetView>
  </sheetViews>
  <sheetFormatPr defaultColWidth="12.625" defaultRowHeight="15" customHeight="1" x14ac:dyDescent="0.2"/>
  <cols>
    <col min="1" max="1" width="30.125" customWidth="1"/>
    <col min="2" max="2" width="10.875" customWidth="1"/>
    <col min="3" max="3" width="10.25" customWidth="1"/>
    <col min="4" max="4" width="11.875" customWidth="1"/>
    <col min="5" max="5" width="11.375" bestFit="1" customWidth="1"/>
    <col min="6" max="6" width="9.625" customWidth="1"/>
    <col min="7" max="7" width="15" customWidth="1"/>
    <col min="8" max="8" width="12.75" customWidth="1"/>
    <col min="9" max="9" width="10.375" customWidth="1"/>
    <col min="10" max="10" width="12.5" customWidth="1"/>
    <col min="11" max="11" width="10.25" customWidth="1"/>
    <col min="12" max="12" width="15.375" customWidth="1"/>
    <col min="13" max="13" width="8" customWidth="1"/>
    <col min="14" max="14" width="9.875" customWidth="1"/>
    <col min="15" max="15" width="8" customWidth="1"/>
    <col min="16" max="16" width="10.25" customWidth="1"/>
    <col min="17" max="32" width="8" customWidth="1"/>
  </cols>
  <sheetData>
    <row r="1" spans="1:32" ht="14.25" customHeight="1" x14ac:dyDescent="0.25">
      <c r="A1" s="238" t="s">
        <v>90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5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customHeight="1" thickBot="1" x14ac:dyDescent="0.3">
      <c r="A2" s="88" t="s">
        <v>150</v>
      </c>
      <c r="B2" s="89">
        <v>2022</v>
      </c>
      <c r="C2" s="90"/>
      <c r="D2" s="90"/>
      <c r="E2" s="65"/>
      <c r="F2" s="65"/>
      <c r="G2" s="65"/>
      <c r="H2" s="90"/>
      <c r="I2" s="90"/>
      <c r="J2" s="90"/>
      <c r="K2" s="90"/>
      <c r="L2" s="90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91" t="s">
        <v>2</v>
      </c>
      <c r="B3" s="231" t="s">
        <v>3</v>
      </c>
      <c r="C3" s="231" t="s">
        <v>92</v>
      </c>
      <c r="D3" s="228" t="s">
        <v>93</v>
      </c>
      <c r="E3" s="241" t="s">
        <v>8</v>
      </c>
      <c r="F3" s="244" t="s">
        <v>94</v>
      </c>
      <c r="G3" s="244" t="s">
        <v>9</v>
      </c>
      <c r="H3" s="231" t="s">
        <v>11</v>
      </c>
      <c r="I3" s="231" t="s">
        <v>95</v>
      </c>
      <c r="J3" s="228" t="s">
        <v>12</v>
      </c>
      <c r="K3" s="228" t="s">
        <v>13</v>
      </c>
      <c r="L3" s="228" t="s">
        <v>14</v>
      </c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x14ac:dyDescent="0.25">
      <c r="A4" s="90" t="s">
        <v>15</v>
      </c>
      <c r="B4" s="229"/>
      <c r="C4" s="229"/>
      <c r="D4" s="229"/>
      <c r="E4" s="242"/>
      <c r="F4" s="229"/>
      <c r="G4" s="229"/>
      <c r="H4" s="229"/>
      <c r="I4" s="229"/>
      <c r="J4" s="229"/>
      <c r="K4" s="229"/>
      <c r="L4" s="229"/>
      <c r="M4" s="5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 x14ac:dyDescent="0.25">
      <c r="A5" s="92" t="s">
        <v>16</v>
      </c>
      <c r="B5" s="237"/>
      <c r="C5" s="237"/>
      <c r="D5" s="237"/>
      <c r="E5" s="243"/>
      <c r="F5" s="237"/>
      <c r="G5" s="237"/>
      <c r="H5" s="237"/>
      <c r="I5" s="237"/>
      <c r="J5" s="237"/>
      <c r="K5" s="237"/>
      <c r="L5" s="237"/>
      <c r="M5" s="5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 x14ac:dyDescent="0.25">
      <c r="A6" s="2" t="s">
        <v>96</v>
      </c>
      <c r="B6" s="235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5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 x14ac:dyDescent="0.25">
      <c r="A7" s="8" t="s">
        <v>97</v>
      </c>
      <c r="B7" s="246" t="s">
        <v>53</v>
      </c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5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 x14ac:dyDescent="0.25">
      <c r="A8" s="10" t="s">
        <v>98</v>
      </c>
      <c r="B8" s="54"/>
      <c r="C8" s="54"/>
      <c r="D8" s="54"/>
      <c r="E8" s="66"/>
      <c r="F8" s="66"/>
      <c r="G8" s="66"/>
      <c r="H8" s="54"/>
      <c r="I8" s="54"/>
      <c r="J8" s="54"/>
      <c r="K8" s="54"/>
      <c r="L8" s="54"/>
      <c r="M8" s="5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 thickBot="1" x14ac:dyDescent="0.3">
      <c r="A9" s="6">
        <v>44579</v>
      </c>
      <c r="B9" s="55">
        <f>387.1</f>
        <v>387.1</v>
      </c>
      <c r="C9" s="55">
        <f>111.11+333.33</f>
        <v>444.44</v>
      </c>
      <c r="D9" s="55"/>
      <c r="E9" s="67"/>
      <c r="F9" s="68">
        <v>333.33</v>
      </c>
      <c r="G9" s="69">
        <f>SUM(B9:F9)</f>
        <v>1164.8699999999999</v>
      </c>
      <c r="H9" s="56">
        <f>24.99+28.55</f>
        <v>53.54</v>
      </c>
      <c r="I9" s="56">
        <v>52.83</v>
      </c>
      <c r="J9" s="56">
        <v>6.33</v>
      </c>
      <c r="K9" s="56">
        <f>SUM(H9:J9)</f>
        <v>112.7</v>
      </c>
      <c r="L9" s="56">
        <f>G9-K9</f>
        <v>1052.1699999999998</v>
      </c>
      <c r="M9" s="5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4.25" customHeight="1" thickTop="1" x14ac:dyDescent="0.25">
      <c r="A10" s="8" t="s">
        <v>99</v>
      </c>
      <c r="B10" s="54"/>
      <c r="C10" s="54"/>
      <c r="D10" s="54"/>
      <c r="E10" s="66"/>
      <c r="F10" s="66"/>
      <c r="G10" s="66"/>
      <c r="H10" s="54"/>
      <c r="I10" s="54"/>
      <c r="J10" s="54"/>
      <c r="K10" s="54"/>
      <c r="L10" s="54"/>
      <c r="M10" s="5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4.25" customHeight="1" x14ac:dyDescent="0.25">
      <c r="A11" s="10" t="s">
        <v>151</v>
      </c>
      <c r="B11" s="54"/>
      <c r="C11" s="54"/>
      <c r="D11" s="54"/>
      <c r="E11" s="66"/>
      <c r="F11" s="66"/>
      <c r="G11" s="66"/>
      <c r="H11" s="54"/>
      <c r="I11" s="54"/>
      <c r="J11" s="54"/>
      <c r="K11" s="54"/>
      <c r="L11" s="54"/>
      <c r="M11" s="5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4.25" customHeight="1" thickBot="1" x14ac:dyDescent="0.3">
      <c r="A12" s="6">
        <v>43171</v>
      </c>
      <c r="B12" s="55">
        <v>2010.27</v>
      </c>
      <c r="C12" s="55"/>
      <c r="D12" s="55"/>
      <c r="E12" s="67"/>
      <c r="F12" s="68"/>
      <c r="G12" s="69">
        <f>SUM(B12:F12)</f>
        <v>2010.27</v>
      </c>
      <c r="H12" s="56">
        <v>162.74</v>
      </c>
      <c r="I12" s="56"/>
      <c r="J12" s="56">
        <f>66.45+3.02+66.85</f>
        <v>136.32</v>
      </c>
      <c r="K12" s="56">
        <f>SUM(H12:J12)</f>
        <v>299.06</v>
      </c>
      <c r="L12" s="56">
        <f>G12-K12</f>
        <v>1711.21</v>
      </c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.75" customHeight="1" thickTop="1" x14ac:dyDescent="0.25">
      <c r="A13" s="8" t="s">
        <v>101</v>
      </c>
      <c r="B13" s="57"/>
      <c r="C13" s="57"/>
      <c r="D13" s="57"/>
      <c r="E13" s="70"/>
      <c r="F13" s="70"/>
      <c r="G13" s="66"/>
      <c r="H13" s="54"/>
      <c r="I13" s="54"/>
      <c r="J13" s="54"/>
      <c r="K13" s="54"/>
      <c r="L13" s="54"/>
      <c r="M13" s="5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.75" customHeight="1" x14ac:dyDescent="0.25">
      <c r="A14" s="5" t="s">
        <v>144</v>
      </c>
      <c r="B14" s="57"/>
      <c r="C14" s="57"/>
      <c r="D14" s="57"/>
      <c r="E14" s="70"/>
      <c r="F14" s="70"/>
      <c r="G14" s="66"/>
      <c r="H14" s="54"/>
      <c r="I14" s="54"/>
      <c r="J14" s="54"/>
      <c r="K14" s="54"/>
      <c r="L14" s="54"/>
      <c r="M14" s="52"/>
      <c r="N14" s="1"/>
      <c r="O14" s="1"/>
      <c r="P14" s="3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.75" customHeight="1" thickBot="1" x14ac:dyDescent="0.3">
      <c r="A15" s="6">
        <v>42037</v>
      </c>
      <c r="B15" s="55">
        <v>4097.53</v>
      </c>
      <c r="C15" s="55"/>
      <c r="D15" s="55">
        <v>81.95</v>
      </c>
      <c r="E15" s="67"/>
      <c r="F15" s="68"/>
      <c r="G15" s="69">
        <f>SUM(B15:F15)</f>
        <v>4179.4799999999996</v>
      </c>
      <c r="H15" s="56">
        <v>421.3</v>
      </c>
      <c r="I15" s="56">
        <v>209.46</v>
      </c>
      <c r="J15" s="56">
        <f>66.45+3.64+126.81</f>
        <v>196.9</v>
      </c>
      <c r="K15" s="56">
        <f>H15+I15+J15</f>
        <v>827.66</v>
      </c>
      <c r="L15" s="56">
        <f>G15-K15</f>
        <v>3351.8199999999997</v>
      </c>
      <c r="M15" s="5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 thickTop="1" x14ac:dyDescent="0.25">
      <c r="A16" s="8" t="s">
        <v>103</v>
      </c>
      <c r="B16" s="57"/>
      <c r="C16" s="57"/>
      <c r="D16" s="57"/>
      <c r="E16" s="70"/>
      <c r="F16" s="70"/>
      <c r="G16" s="66"/>
      <c r="H16" s="54"/>
      <c r="I16" s="54"/>
      <c r="J16" s="54"/>
      <c r="K16" s="54"/>
      <c r="L16" s="54"/>
      <c r="M16" s="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 x14ac:dyDescent="0.25">
      <c r="A17" s="5" t="s">
        <v>104</v>
      </c>
      <c r="B17" s="57"/>
      <c r="C17" s="57"/>
      <c r="D17" s="57"/>
      <c r="E17" s="70"/>
      <c r="F17" s="70"/>
      <c r="G17" s="66"/>
      <c r="H17" s="54"/>
      <c r="I17" s="54"/>
      <c r="J17" s="54"/>
      <c r="K17" s="54"/>
      <c r="L17" s="54"/>
      <c r="M17" s="5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4.25" customHeight="1" thickBot="1" x14ac:dyDescent="0.3">
      <c r="A18" s="6">
        <v>41319</v>
      </c>
      <c r="B18" s="55">
        <v>6678.33</v>
      </c>
      <c r="C18" s="55"/>
      <c r="D18" s="55">
        <v>133.56</v>
      </c>
      <c r="E18" s="67">
        <v>3005.25</v>
      </c>
      <c r="F18" s="68"/>
      <c r="G18" s="69">
        <f>SUM(B18:F18)</f>
        <v>9817.14</v>
      </c>
      <c r="H18" s="56">
        <v>828.38</v>
      </c>
      <c r="I18" s="56">
        <v>1498.27</v>
      </c>
      <c r="J18" s="56">
        <f>66.45+3.25+26.71</f>
        <v>96.41</v>
      </c>
      <c r="K18" s="56">
        <f>H18+I18+J18</f>
        <v>2423.06</v>
      </c>
      <c r="L18" s="56">
        <f>G18-K18</f>
        <v>7394.08</v>
      </c>
      <c r="M18" s="5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4.25" customHeight="1" thickTop="1" x14ac:dyDescent="0.25">
      <c r="A19" s="8" t="s">
        <v>105</v>
      </c>
      <c r="B19" s="58"/>
      <c r="C19" s="58"/>
      <c r="D19" s="58"/>
      <c r="E19" s="71"/>
      <c r="F19" s="72"/>
      <c r="G19" s="73"/>
      <c r="H19" s="83"/>
      <c r="I19" s="83"/>
      <c r="J19" s="83"/>
      <c r="K19" s="83"/>
      <c r="L19" s="83"/>
      <c r="M19" s="5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4.25" customHeight="1" x14ac:dyDescent="0.25">
      <c r="A20" s="53" t="s">
        <v>106</v>
      </c>
      <c r="B20" s="58"/>
      <c r="C20" s="58"/>
      <c r="D20" s="58"/>
      <c r="E20" s="71"/>
      <c r="F20" s="72"/>
      <c r="G20" s="73"/>
      <c r="H20" s="83"/>
      <c r="I20" s="83"/>
      <c r="J20" s="83"/>
      <c r="K20" s="83"/>
      <c r="L20" s="83"/>
      <c r="M20" s="5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thickBot="1" x14ac:dyDescent="0.3">
      <c r="A21" s="49">
        <v>44522</v>
      </c>
      <c r="B21" s="56">
        <v>3578.94</v>
      </c>
      <c r="C21" s="56"/>
      <c r="D21" s="56"/>
      <c r="E21" s="69"/>
      <c r="F21" s="74"/>
      <c r="G21" s="69">
        <f>SUM(B21:F21)</f>
        <v>3578.94</v>
      </c>
      <c r="H21" s="56">
        <v>338.47</v>
      </c>
      <c r="I21" s="56">
        <v>102.83</v>
      </c>
      <c r="J21" s="56">
        <f>66.45+3.64+280.68</f>
        <v>350.77</v>
      </c>
      <c r="K21" s="56">
        <f>H21+I21+J21</f>
        <v>792.06999999999994</v>
      </c>
      <c r="L21" s="56">
        <f>G21-K21</f>
        <v>2786.87</v>
      </c>
      <c r="M21" s="5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thickTop="1" x14ac:dyDescent="0.25">
      <c r="A22" s="3" t="s">
        <v>107</v>
      </c>
      <c r="B22" s="54"/>
      <c r="C22" s="54"/>
      <c r="D22" s="54"/>
      <c r="E22" s="66"/>
      <c r="F22" s="66"/>
      <c r="G22" s="66"/>
      <c r="H22" s="54"/>
      <c r="I22" s="54"/>
      <c r="J22" s="54"/>
      <c r="K22" s="54"/>
      <c r="L22" s="54"/>
      <c r="M22" s="5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5" t="s">
        <v>108</v>
      </c>
      <c r="B23" s="54"/>
      <c r="C23" s="54"/>
      <c r="D23" s="54"/>
      <c r="E23" s="66"/>
      <c r="F23" s="66"/>
      <c r="G23" s="66"/>
      <c r="H23" s="54"/>
      <c r="I23" s="54"/>
      <c r="J23" s="54"/>
      <c r="K23" s="54"/>
      <c r="L23" s="54"/>
      <c r="M23" s="5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thickBot="1" x14ac:dyDescent="0.3">
      <c r="A24" s="49">
        <v>44207</v>
      </c>
      <c r="B24" s="56">
        <v>1797.58</v>
      </c>
      <c r="C24" s="56"/>
      <c r="D24" s="56"/>
      <c r="E24" s="69"/>
      <c r="F24" s="74"/>
      <c r="G24" s="69">
        <f>SUM(B24:F24)</f>
        <v>1797.58</v>
      </c>
      <c r="H24" s="56">
        <v>143.6</v>
      </c>
      <c r="I24" s="59"/>
      <c r="J24" s="56">
        <f>66.45+3.64+602.98+26.71</f>
        <v>699.78000000000009</v>
      </c>
      <c r="K24" s="56">
        <f>SUM(H24:J24)</f>
        <v>843.38000000000011</v>
      </c>
      <c r="L24" s="56">
        <f>G24-K24</f>
        <v>954.19999999999982</v>
      </c>
      <c r="M24" s="5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thickTop="1" x14ac:dyDescent="0.25">
      <c r="A25" s="3" t="s">
        <v>145</v>
      </c>
      <c r="B25" s="54"/>
      <c r="C25" s="54"/>
      <c r="D25" s="54"/>
      <c r="E25" s="66"/>
      <c r="F25" s="66"/>
      <c r="G25" s="66"/>
      <c r="H25" s="54"/>
      <c r="I25" s="54"/>
      <c r="J25" s="54"/>
      <c r="K25" s="54"/>
      <c r="L25" s="54"/>
      <c r="M25" s="5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5" t="s">
        <v>146</v>
      </c>
      <c r="B26" s="54"/>
      <c r="C26" s="54"/>
      <c r="D26" s="54"/>
      <c r="E26" s="66"/>
      <c r="F26" s="66"/>
      <c r="G26" s="66"/>
      <c r="H26" s="54"/>
      <c r="I26" s="54"/>
      <c r="J26" s="54"/>
      <c r="K26" s="54"/>
      <c r="L26" s="54"/>
      <c r="M26" s="5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thickBot="1" x14ac:dyDescent="0.3">
      <c r="A27" s="49">
        <v>44608</v>
      </c>
      <c r="B27" s="56">
        <v>4000</v>
      </c>
      <c r="C27" s="56"/>
      <c r="D27" s="56"/>
      <c r="E27" s="69"/>
      <c r="F27" s="74"/>
      <c r="G27" s="69">
        <f>SUM(B27:F27)</f>
        <v>4000</v>
      </c>
      <c r="H27" s="56">
        <v>396.17</v>
      </c>
      <c r="I27" s="59">
        <v>185.77</v>
      </c>
      <c r="J27" s="56">
        <f>84.94+3.52</f>
        <v>88.46</v>
      </c>
      <c r="K27" s="56">
        <f>SUM(H27:J27)</f>
        <v>670.40000000000009</v>
      </c>
      <c r="L27" s="56">
        <f>G27-K27</f>
        <v>3329.6</v>
      </c>
      <c r="M27" s="5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.75" customHeight="1" thickTop="1" x14ac:dyDescent="0.25">
      <c r="A28" s="3" t="s">
        <v>109</v>
      </c>
      <c r="B28" s="54"/>
      <c r="C28" s="54"/>
      <c r="D28" s="54"/>
      <c r="E28" s="66"/>
      <c r="F28" s="66"/>
      <c r="G28" s="66"/>
      <c r="H28" s="54"/>
      <c r="I28" s="54"/>
      <c r="J28" s="54"/>
      <c r="K28" s="54"/>
      <c r="L28" s="54"/>
      <c r="M28" s="5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.75" customHeight="1" x14ac:dyDescent="0.25">
      <c r="A29" s="5" t="s">
        <v>110</v>
      </c>
      <c r="B29" s="54"/>
      <c r="C29" s="54"/>
      <c r="D29" s="54"/>
      <c r="E29" s="66"/>
      <c r="F29" s="66"/>
      <c r="G29" s="66"/>
      <c r="H29" s="54"/>
      <c r="I29" s="54"/>
      <c r="J29" s="54"/>
      <c r="K29" s="54"/>
      <c r="L29" s="54"/>
      <c r="M29" s="5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.75" customHeight="1" thickBot="1" x14ac:dyDescent="0.3">
      <c r="A30" s="49">
        <v>43739</v>
      </c>
      <c r="B30" s="56">
        <v>3829.46</v>
      </c>
      <c r="C30" s="56"/>
      <c r="D30" s="56"/>
      <c r="E30" s="69"/>
      <c r="F30" s="87">
        <v>1914.73</v>
      </c>
      <c r="G30" s="69">
        <f>SUM(B30:F30)</f>
        <v>5744.1900000000005</v>
      </c>
      <c r="H30" s="56">
        <v>371.58</v>
      </c>
      <c r="I30" s="59">
        <v>163.12</v>
      </c>
      <c r="J30" s="56">
        <f>5.11+66.45+2.05+120.51+53.42</f>
        <v>247.54000000000002</v>
      </c>
      <c r="K30" s="56">
        <f>SUM(H30:J30)</f>
        <v>782.24</v>
      </c>
      <c r="L30" s="56">
        <f>G30-K30</f>
        <v>4961.9500000000007</v>
      </c>
      <c r="M30" s="5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 thickTop="1" x14ac:dyDescent="0.25">
      <c r="A31" s="8" t="s">
        <v>111</v>
      </c>
      <c r="B31" s="54"/>
      <c r="C31" s="54"/>
      <c r="D31" s="54"/>
      <c r="E31" s="66"/>
      <c r="F31" s="66"/>
      <c r="G31" s="66"/>
      <c r="H31" s="54"/>
      <c r="I31" s="54"/>
      <c r="J31" s="54"/>
      <c r="K31" s="54"/>
      <c r="L31" s="54"/>
      <c r="M31" s="5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 x14ac:dyDescent="0.25">
      <c r="A32" s="10" t="s">
        <v>100</v>
      </c>
      <c r="B32" s="54"/>
      <c r="C32" s="54"/>
      <c r="D32" s="54"/>
      <c r="E32" s="66"/>
      <c r="F32" s="66"/>
      <c r="G32" s="66"/>
      <c r="H32" s="54"/>
      <c r="I32" s="54"/>
      <c r="J32" s="54"/>
      <c r="K32" s="54"/>
      <c r="L32" s="54"/>
      <c r="M32" s="5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 thickBot="1" x14ac:dyDescent="0.3">
      <c r="A33" s="6">
        <v>43648</v>
      </c>
      <c r="B33" s="55">
        <v>1923.41</v>
      </c>
      <c r="C33" s="55"/>
      <c r="D33" s="55"/>
      <c r="E33" s="67"/>
      <c r="F33" s="68"/>
      <c r="G33" s="69">
        <f>SUM(B33:F33)</f>
        <v>1923.41</v>
      </c>
      <c r="H33" s="56">
        <v>154.91999999999999</v>
      </c>
      <c r="I33" s="56"/>
      <c r="J33" s="56">
        <f>66.45+3.52</f>
        <v>69.97</v>
      </c>
      <c r="K33" s="56">
        <f>SUM(H33:J33)</f>
        <v>224.89</v>
      </c>
      <c r="L33" s="56">
        <f>G33-K33</f>
        <v>1698.52</v>
      </c>
      <c r="M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 thickTop="1" x14ac:dyDescent="0.25">
      <c r="A34" s="8" t="s">
        <v>112</v>
      </c>
      <c r="B34" s="54"/>
      <c r="C34" s="54"/>
      <c r="D34" s="54"/>
      <c r="E34" s="66"/>
      <c r="F34" s="66"/>
      <c r="G34" s="66"/>
      <c r="H34" s="54"/>
      <c r="I34" s="54"/>
      <c r="J34" s="54"/>
      <c r="K34" s="54"/>
      <c r="L34" s="54"/>
      <c r="M34" s="5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 x14ac:dyDescent="0.25">
      <c r="A35" s="10" t="s">
        <v>113</v>
      </c>
      <c r="B35" s="54"/>
      <c r="C35" s="54"/>
      <c r="D35" s="54"/>
      <c r="E35" s="66"/>
      <c r="F35" s="66"/>
      <c r="G35" s="66"/>
      <c r="H35" s="54"/>
      <c r="I35" s="54"/>
      <c r="J35" s="54"/>
      <c r="K35" s="54"/>
      <c r="L35" s="54"/>
      <c r="M35" s="5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 thickBot="1" x14ac:dyDescent="0.3">
      <c r="A36" s="6">
        <v>44580</v>
      </c>
      <c r="B36" s="55">
        <v>3578.94</v>
      </c>
      <c r="C36" s="55"/>
      <c r="D36" s="55"/>
      <c r="E36" s="67"/>
      <c r="F36" s="68"/>
      <c r="G36" s="69">
        <f>SUM(B36:F36)</f>
        <v>3578.94</v>
      </c>
      <c r="H36" s="56">
        <v>338.47</v>
      </c>
      <c r="I36" s="56">
        <v>131.27000000000001</v>
      </c>
      <c r="J36" s="56">
        <f>65.16+3.42+90.21</f>
        <v>158.79</v>
      </c>
      <c r="K36" s="56">
        <f>SUM(H36:J36)</f>
        <v>628.53</v>
      </c>
      <c r="L36" s="56">
        <f>G36-K36</f>
        <v>2950.41</v>
      </c>
      <c r="M36" s="5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 thickTop="1" x14ac:dyDescent="0.25">
      <c r="A37" s="3" t="s">
        <v>114</v>
      </c>
      <c r="B37" s="84"/>
      <c r="C37" s="84"/>
      <c r="D37" s="84"/>
      <c r="E37" s="75"/>
      <c r="F37" s="75"/>
      <c r="G37" s="75"/>
      <c r="H37" s="84"/>
      <c r="I37" s="84"/>
      <c r="J37" s="84"/>
      <c r="K37" s="84"/>
      <c r="L37" s="84"/>
      <c r="M37" s="5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 x14ac:dyDescent="0.25">
      <c r="A38" s="5" t="s">
        <v>100</v>
      </c>
      <c r="B38" s="57"/>
      <c r="C38" s="57"/>
      <c r="D38" s="57"/>
      <c r="E38" s="70"/>
      <c r="F38" s="70"/>
      <c r="G38" s="66"/>
      <c r="H38" s="54"/>
      <c r="I38" s="54"/>
      <c r="J38" s="54"/>
      <c r="K38" s="54"/>
      <c r="L38" s="54"/>
      <c r="M38" s="5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 thickBot="1" x14ac:dyDescent="0.3">
      <c r="A39" s="6">
        <v>43325</v>
      </c>
      <c r="B39" s="55">
        <v>1923.41</v>
      </c>
      <c r="C39" s="55"/>
      <c r="D39" s="55"/>
      <c r="E39" s="67"/>
      <c r="F39" s="68"/>
      <c r="G39" s="69">
        <f>SUM(B39:F39)</f>
        <v>1923.41</v>
      </c>
      <c r="H39" s="59">
        <v>154.65</v>
      </c>
      <c r="I39" s="56"/>
      <c r="J39" s="59">
        <f>3.05+66.45+3.62+204.51+26.71</f>
        <v>304.33999999999997</v>
      </c>
      <c r="K39" s="56">
        <f>SUM(H39:J39)</f>
        <v>458.99</v>
      </c>
      <c r="L39" s="56">
        <f>G39-K39</f>
        <v>1464.42</v>
      </c>
      <c r="M39" s="5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 thickTop="1" x14ac:dyDescent="0.25">
      <c r="A40" s="8" t="s">
        <v>115</v>
      </c>
      <c r="B40" s="57"/>
      <c r="C40" s="57"/>
      <c r="D40" s="57"/>
      <c r="E40" s="70"/>
      <c r="F40" s="70"/>
      <c r="G40" s="66"/>
      <c r="H40" s="54"/>
      <c r="I40" s="54"/>
      <c r="J40" s="54"/>
      <c r="K40" s="54"/>
      <c r="L40" s="54"/>
      <c r="M40" s="5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 x14ac:dyDescent="0.25">
      <c r="A41" s="10" t="s">
        <v>116</v>
      </c>
      <c r="B41" s="57"/>
      <c r="C41" s="57"/>
      <c r="D41" s="57"/>
      <c r="E41" s="70"/>
      <c r="F41" s="70"/>
      <c r="G41" s="66"/>
      <c r="H41" s="54"/>
      <c r="I41" s="54"/>
      <c r="J41" s="54"/>
      <c r="K41" s="54"/>
      <c r="L41" s="54"/>
      <c r="M41" s="5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 thickBot="1" x14ac:dyDescent="0.3">
      <c r="A42" s="6">
        <v>43325</v>
      </c>
      <c r="B42" s="55">
        <v>1923.41</v>
      </c>
      <c r="C42" s="55"/>
      <c r="D42" s="55"/>
      <c r="E42" s="67">
        <v>865.53</v>
      </c>
      <c r="F42" s="68"/>
      <c r="G42" s="69">
        <f>SUM(B42:F42)</f>
        <v>2788.94</v>
      </c>
      <c r="H42" s="56">
        <v>243.67</v>
      </c>
      <c r="I42" s="56">
        <v>48.1</v>
      </c>
      <c r="J42" s="56">
        <f>19.23+66.45+2.93+264.17</f>
        <v>352.78000000000003</v>
      </c>
      <c r="K42" s="56">
        <f>H42+I42+J42</f>
        <v>644.54999999999995</v>
      </c>
      <c r="L42" s="56">
        <f>G42-K42</f>
        <v>2144.3900000000003</v>
      </c>
      <c r="M42" s="5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 thickTop="1" x14ac:dyDescent="0.25">
      <c r="A43" s="8" t="s">
        <v>117</v>
      </c>
      <c r="B43" s="54"/>
      <c r="C43" s="54"/>
      <c r="D43" s="54"/>
      <c r="E43" s="66"/>
      <c r="F43" s="66"/>
      <c r="G43" s="66"/>
      <c r="H43" s="54"/>
      <c r="I43" s="54"/>
      <c r="J43" s="54"/>
      <c r="K43" s="54"/>
      <c r="L43" s="54"/>
      <c r="M43" s="5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 x14ac:dyDescent="0.25">
      <c r="A44" s="5" t="s">
        <v>100</v>
      </c>
      <c r="B44" s="54"/>
      <c r="C44" s="54"/>
      <c r="D44" s="54"/>
      <c r="E44" s="66"/>
      <c r="F44" s="66"/>
      <c r="G44" s="66"/>
      <c r="H44" s="54"/>
      <c r="I44" s="54"/>
      <c r="J44" s="54"/>
      <c r="K44" s="54"/>
      <c r="L44" s="54"/>
      <c r="M44" s="5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 customHeight="1" thickBot="1" x14ac:dyDescent="0.3">
      <c r="A45" s="51">
        <v>43479</v>
      </c>
      <c r="B45" s="56">
        <v>1365</v>
      </c>
      <c r="C45" s="56">
        <f>961.71+320.57</f>
        <v>1282.28</v>
      </c>
      <c r="D45" s="56"/>
      <c r="E45" s="69"/>
      <c r="F45" s="74"/>
      <c r="G45" s="69">
        <f>SUM(B45:F45)</f>
        <v>2647.2799999999997</v>
      </c>
      <c r="H45" s="56">
        <f>96.16+116.21</f>
        <v>212.37</v>
      </c>
      <c r="I45" s="56"/>
      <c r="J45" s="56">
        <f>66.45+2.45+307.26</f>
        <v>376.15999999999997</v>
      </c>
      <c r="K45" s="56">
        <f>H45+I45+J45</f>
        <v>588.53</v>
      </c>
      <c r="L45" s="56">
        <f>G45-K45</f>
        <v>2058.75</v>
      </c>
      <c r="M45" s="5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4.25" customHeight="1" thickTop="1" x14ac:dyDescent="0.25">
      <c r="A46" s="8" t="s">
        <v>118</v>
      </c>
      <c r="B46" s="54"/>
      <c r="C46" s="54"/>
      <c r="D46" s="54"/>
      <c r="E46" s="66"/>
      <c r="F46" s="66"/>
      <c r="G46" s="66"/>
      <c r="H46" s="54"/>
      <c r="I46" s="54"/>
      <c r="J46" s="54"/>
      <c r="K46" s="54"/>
      <c r="L46" s="54"/>
      <c r="M46" s="5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4.25" customHeight="1" x14ac:dyDescent="0.25">
      <c r="A47" s="5" t="s">
        <v>119</v>
      </c>
      <c r="B47" s="54"/>
      <c r="C47" s="54"/>
      <c r="D47" s="54"/>
      <c r="E47" s="66"/>
      <c r="F47" s="66"/>
      <c r="G47" s="66"/>
      <c r="H47" s="54"/>
      <c r="I47" s="54"/>
      <c r="J47" s="54"/>
      <c r="K47" s="54"/>
      <c r="L47" s="54"/>
      <c r="M47" s="5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4.25" customHeight="1" thickBot="1" x14ac:dyDescent="0.3">
      <c r="A48" s="51">
        <v>44341</v>
      </c>
      <c r="B48" s="56">
        <v>1797.58</v>
      </c>
      <c r="C48" s="56"/>
      <c r="D48" s="56"/>
      <c r="E48" s="69"/>
      <c r="F48" s="74"/>
      <c r="G48" s="69">
        <f>SUM(B48:F48)</f>
        <v>1797.58</v>
      </c>
      <c r="H48" s="56">
        <v>143.6</v>
      </c>
      <c r="I48" s="56"/>
      <c r="J48" s="56">
        <f>66.45+2.86+133.55</f>
        <v>202.86</v>
      </c>
      <c r="K48" s="56">
        <f>H48+I48+J48</f>
        <v>346.46000000000004</v>
      </c>
      <c r="L48" s="56">
        <f>G48-K48</f>
        <v>1451.12</v>
      </c>
      <c r="M48" s="5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thickTop="1" thickBot="1" x14ac:dyDescent="0.3">
      <c r="A49" s="28" t="s">
        <v>120</v>
      </c>
      <c r="B49" s="235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5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thickTop="1" x14ac:dyDescent="0.25">
      <c r="A50" s="8" t="s">
        <v>121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5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x14ac:dyDescent="0.25">
      <c r="A51" s="53" t="s">
        <v>122</v>
      </c>
      <c r="B51" s="58"/>
      <c r="C51" s="58"/>
      <c r="D51" s="58"/>
      <c r="E51" s="71"/>
      <c r="F51" s="71"/>
      <c r="G51" s="73"/>
      <c r="H51" s="83"/>
      <c r="I51" s="83"/>
      <c r="J51" s="83"/>
      <c r="K51" s="83"/>
      <c r="L51" s="83"/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thickBot="1" x14ac:dyDescent="0.3">
      <c r="A52" s="50">
        <v>38054</v>
      </c>
      <c r="B52" s="55">
        <v>2886.52</v>
      </c>
      <c r="C52" s="55"/>
      <c r="D52" s="55">
        <v>57.73</v>
      </c>
      <c r="E52" s="67">
        <v>1298.94</v>
      </c>
      <c r="F52" s="67"/>
      <c r="G52" s="69">
        <f>SUM(B52:F52)</f>
        <v>4243.1900000000005</v>
      </c>
      <c r="H52" s="56">
        <v>430.22</v>
      </c>
      <c r="I52" s="56">
        <v>221.79</v>
      </c>
      <c r="J52" s="56">
        <v>196.9</v>
      </c>
      <c r="K52" s="56">
        <f>H52+I52+J52</f>
        <v>848.91</v>
      </c>
      <c r="L52" s="56">
        <f>G52-K52</f>
        <v>3394.2800000000007</v>
      </c>
      <c r="M52" s="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thickTop="1" x14ac:dyDescent="0.25">
      <c r="A53" s="8" t="s">
        <v>123</v>
      </c>
      <c r="B53" s="58"/>
      <c r="C53" s="58"/>
      <c r="D53" s="58"/>
      <c r="E53" s="71"/>
      <c r="F53" s="71"/>
      <c r="G53" s="73"/>
      <c r="H53" s="83"/>
      <c r="I53" s="83"/>
      <c r="J53" s="83"/>
      <c r="K53" s="83"/>
      <c r="L53" s="83"/>
      <c r="M53" s="5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53" t="s">
        <v>108</v>
      </c>
      <c r="B54" s="58"/>
      <c r="C54" s="58"/>
      <c r="D54" s="58"/>
      <c r="E54" s="71"/>
      <c r="F54" s="71"/>
      <c r="G54" s="73"/>
      <c r="H54" s="83"/>
      <c r="I54" s="83"/>
      <c r="J54" s="83"/>
      <c r="K54" s="83"/>
      <c r="L54" s="83"/>
      <c r="M54" s="5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thickBot="1" x14ac:dyDescent="0.3">
      <c r="A55" s="50">
        <v>44319</v>
      </c>
      <c r="B55" s="55">
        <v>1797.58</v>
      </c>
      <c r="C55" s="55"/>
      <c r="D55" s="55"/>
      <c r="E55" s="67"/>
      <c r="F55" s="67"/>
      <c r="G55" s="69">
        <f>SUM(B55:F55)</f>
        <v>1797.58</v>
      </c>
      <c r="H55" s="56">
        <v>143.6</v>
      </c>
      <c r="I55" s="56"/>
      <c r="J55" s="56">
        <f>66.45+3.47</f>
        <v>69.92</v>
      </c>
      <c r="K55" s="56">
        <f>H55+I55+J55</f>
        <v>213.51999999999998</v>
      </c>
      <c r="L55" s="56">
        <f>G55-K55</f>
        <v>1584.06</v>
      </c>
      <c r="M55" s="5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.75" customHeight="1" thickTop="1" x14ac:dyDescent="0.25">
      <c r="A56" s="8" t="s">
        <v>124</v>
      </c>
      <c r="B56" s="58"/>
      <c r="C56" s="58"/>
      <c r="D56" s="58"/>
      <c r="E56" s="71"/>
      <c r="F56" s="71"/>
      <c r="G56" s="73"/>
      <c r="H56" s="83"/>
      <c r="I56" s="83"/>
      <c r="J56" s="83"/>
      <c r="K56" s="83"/>
      <c r="L56" s="83"/>
      <c r="M56" s="5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 customHeight="1" x14ac:dyDescent="0.25">
      <c r="A57" s="53" t="s">
        <v>116</v>
      </c>
      <c r="B57" s="58"/>
      <c r="C57" s="58"/>
      <c r="D57" s="58"/>
      <c r="E57" s="71"/>
      <c r="F57" s="71"/>
      <c r="G57" s="73"/>
      <c r="H57" s="83"/>
      <c r="I57" s="83"/>
      <c r="J57" s="83"/>
      <c r="K57" s="83"/>
      <c r="L57" s="83"/>
      <c r="M57" s="5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 customHeight="1" thickBot="1" x14ac:dyDescent="0.3">
      <c r="A58" s="50">
        <v>43845</v>
      </c>
      <c r="B58" s="55">
        <v>1923.41</v>
      </c>
      <c r="C58" s="55"/>
      <c r="D58" s="55"/>
      <c r="E58" s="67"/>
      <c r="F58" s="67"/>
      <c r="G58" s="69">
        <f>SUM(B58:F58)</f>
        <v>1923.41</v>
      </c>
      <c r="H58" s="56">
        <v>154.91999999999999</v>
      </c>
      <c r="I58" s="56"/>
      <c r="J58" s="56">
        <f>19.23+66.45+3.54+602.02</f>
        <v>691.24</v>
      </c>
      <c r="K58" s="56">
        <f>H58+I58+J58</f>
        <v>846.16</v>
      </c>
      <c r="L58" s="56">
        <f>G58-K58</f>
        <v>1077.25</v>
      </c>
      <c r="M58" s="5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" customHeight="1" thickTop="1" x14ac:dyDescent="0.2"/>
    <row r="62" spans="1:32" ht="15.75" customHeight="1" x14ac:dyDescent="0.25">
      <c r="A62" s="82"/>
      <c r="B62" s="58"/>
      <c r="C62" s="58"/>
      <c r="D62" s="58"/>
      <c r="E62" s="71"/>
      <c r="F62" s="71"/>
      <c r="G62" s="73"/>
      <c r="H62" s="83"/>
      <c r="I62" s="83"/>
      <c r="J62" s="83"/>
      <c r="K62" s="83"/>
      <c r="L62" s="83"/>
      <c r="M62" s="5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A63" s="82"/>
      <c r="B63" s="58"/>
      <c r="C63" s="58"/>
      <c r="D63" s="58"/>
      <c r="E63" s="71"/>
      <c r="F63" s="71"/>
      <c r="G63" s="73"/>
      <c r="H63" s="83"/>
      <c r="I63" s="83"/>
      <c r="J63" s="83"/>
      <c r="K63" s="83"/>
      <c r="L63" s="83"/>
      <c r="M63" s="5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25">
      <c r="A64" s="82"/>
      <c r="B64" s="58"/>
      <c r="C64" s="58"/>
      <c r="D64" s="58"/>
      <c r="E64" s="71"/>
      <c r="F64" s="71"/>
      <c r="G64" s="73"/>
      <c r="H64" s="83"/>
      <c r="I64" s="83"/>
      <c r="J64" s="83"/>
      <c r="K64" s="83"/>
      <c r="L64" s="83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x14ac:dyDescent="0.25">
      <c r="A65" s="82"/>
      <c r="B65" s="58"/>
      <c r="C65" s="58"/>
      <c r="D65" s="58"/>
      <c r="E65" s="71"/>
      <c r="F65" s="71"/>
      <c r="G65" s="73"/>
      <c r="H65" s="83"/>
      <c r="I65" s="83"/>
      <c r="J65" s="83"/>
      <c r="K65" s="83"/>
      <c r="L65" s="83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M66" s="5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25">
      <c r="A67" s="238" t="s">
        <v>90</v>
      </c>
      <c r="B67" s="229"/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thickBot="1" x14ac:dyDescent="0.3">
      <c r="A68" s="88" t="s">
        <v>150</v>
      </c>
      <c r="B68" s="89">
        <v>2022</v>
      </c>
      <c r="C68" s="90"/>
      <c r="D68" s="90"/>
      <c r="E68" s="65"/>
      <c r="F68" s="65"/>
      <c r="G68" s="65"/>
      <c r="H68" s="90"/>
      <c r="I68" s="90"/>
      <c r="J68" s="90"/>
      <c r="K68" s="90"/>
      <c r="L68" s="90"/>
      <c r="M68" s="5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91" t="s">
        <v>2</v>
      </c>
      <c r="B69" s="231" t="s">
        <v>3</v>
      </c>
      <c r="C69" s="231" t="s">
        <v>92</v>
      </c>
      <c r="D69" s="228" t="s">
        <v>93</v>
      </c>
      <c r="E69" s="241" t="s">
        <v>8</v>
      </c>
      <c r="F69" s="244" t="s">
        <v>94</v>
      </c>
      <c r="G69" s="244" t="s">
        <v>9</v>
      </c>
      <c r="H69" s="231" t="s">
        <v>11</v>
      </c>
      <c r="I69" s="231" t="s">
        <v>95</v>
      </c>
      <c r="J69" s="228" t="s">
        <v>12</v>
      </c>
      <c r="K69" s="228" t="s">
        <v>13</v>
      </c>
      <c r="L69" s="228" t="s">
        <v>14</v>
      </c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25">
      <c r="A70" s="90" t="s">
        <v>15</v>
      </c>
      <c r="B70" s="229"/>
      <c r="C70" s="229"/>
      <c r="D70" s="229"/>
      <c r="E70" s="242"/>
      <c r="F70" s="229"/>
      <c r="G70" s="229"/>
      <c r="H70" s="229"/>
      <c r="I70" s="229"/>
      <c r="J70" s="229"/>
      <c r="K70" s="229"/>
      <c r="L70" s="229"/>
      <c r="M70" s="5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25">
      <c r="A71" s="92" t="s">
        <v>16</v>
      </c>
      <c r="B71" s="237"/>
      <c r="C71" s="237"/>
      <c r="D71" s="237"/>
      <c r="E71" s="243"/>
      <c r="F71" s="237"/>
      <c r="G71" s="237"/>
      <c r="H71" s="237"/>
      <c r="I71" s="237"/>
      <c r="J71" s="237"/>
      <c r="K71" s="237"/>
      <c r="L71" s="237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x14ac:dyDescent="0.25">
      <c r="A72" s="2" t="s">
        <v>120</v>
      </c>
      <c r="B72" s="235"/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5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x14ac:dyDescent="0.25">
      <c r="A73" s="8" t="s">
        <v>125</v>
      </c>
      <c r="B73" s="58"/>
      <c r="C73" s="58"/>
      <c r="D73" s="58"/>
      <c r="E73" s="71"/>
      <c r="F73" s="71"/>
      <c r="G73" s="73"/>
      <c r="H73" s="83"/>
      <c r="I73" s="83"/>
      <c r="J73" s="83"/>
      <c r="K73" s="83"/>
      <c r="L73" s="83"/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25">
      <c r="A74" s="53" t="s">
        <v>126</v>
      </c>
      <c r="B74" s="58"/>
      <c r="C74" s="58"/>
      <c r="D74" s="58"/>
      <c r="E74" s="71"/>
      <c r="F74" s="71"/>
      <c r="G74" s="73"/>
      <c r="H74" s="83"/>
      <c r="I74" s="83"/>
      <c r="J74" s="83"/>
      <c r="K74" s="83"/>
      <c r="L74" s="83"/>
      <c r="M74" s="5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thickBot="1" x14ac:dyDescent="0.3">
      <c r="A75" s="50">
        <v>39783</v>
      </c>
      <c r="B75" s="55">
        <v>2886.52</v>
      </c>
      <c r="C75" s="55"/>
      <c r="D75" s="55">
        <v>57.73</v>
      </c>
      <c r="E75" s="67">
        <v>1298.93</v>
      </c>
      <c r="F75" s="67"/>
      <c r="G75" s="69">
        <f>SUM(B75:F75)</f>
        <v>4243.18</v>
      </c>
      <c r="H75" s="56">
        <v>430.22</v>
      </c>
      <c r="I75" s="56">
        <v>221.79</v>
      </c>
      <c r="J75" s="56">
        <f>66.45+3.56+843.3+80.13</f>
        <v>993.43999999999994</v>
      </c>
      <c r="K75" s="56">
        <f>H75+I75+J75</f>
        <v>1645.4499999999998</v>
      </c>
      <c r="L75" s="56">
        <f>G75-K75</f>
        <v>2597.7300000000005</v>
      </c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thickTop="1" x14ac:dyDescent="0.25">
      <c r="A76" s="3" t="s">
        <v>127</v>
      </c>
      <c r="B76" s="57"/>
      <c r="C76" s="60"/>
      <c r="D76" s="60"/>
      <c r="E76" s="76"/>
      <c r="F76" s="77"/>
      <c r="G76" s="78"/>
      <c r="H76" s="61"/>
      <c r="I76" s="61"/>
      <c r="J76" s="61"/>
      <c r="K76" s="61"/>
      <c r="L76" s="61"/>
      <c r="M76" s="5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25">
      <c r="A77" s="5" t="s">
        <v>116</v>
      </c>
      <c r="B77" s="57"/>
      <c r="C77" s="60"/>
      <c r="D77" s="60"/>
      <c r="E77" s="76"/>
      <c r="F77" s="77"/>
      <c r="G77" s="78"/>
      <c r="H77" s="61"/>
      <c r="I77" s="61"/>
      <c r="J77" s="61"/>
      <c r="K77" s="61"/>
      <c r="L77" s="61"/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thickBot="1" x14ac:dyDescent="0.3">
      <c r="A78" s="50">
        <v>43325</v>
      </c>
      <c r="B78" s="55">
        <v>1923.41</v>
      </c>
      <c r="C78" s="55"/>
      <c r="D78" s="55"/>
      <c r="E78" s="67">
        <v>865.53</v>
      </c>
      <c r="F78" s="67"/>
      <c r="G78" s="69">
        <f>SUM(B78:F78)</f>
        <v>2788.94</v>
      </c>
      <c r="H78" s="56">
        <v>243.67</v>
      </c>
      <c r="I78" s="56">
        <v>48.1</v>
      </c>
      <c r="J78" s="56">
        <f>66.45+3.64+77.82+26.71</f>
        <v>174.62</v>
      </c>
      <c r="K78" s="56">
        <f>H78+I78+J78</f>
        <v>466.39</v>
      </c>
      <c r="L78" s="56">
        <f>G78-K78</f>
        <v>2322.5500000000002</v>
      </c>
      <c r="M78" s="5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thickTop="1" x14ac:dyDescent="0.25">
      <c r="A79" s="8" t="s">
        <v>128</v>
      </c>
      <c r="B79" s="57"/>
      <c r="C79" s="57"/>
      <c r="D79" s="57"/>
      <c r="E79" s="70"/>
      <c r="F79" s="70"/>
      <c r="G79" s="66"/>
      <c r="H79" s="54"/>
      <c r="I79" s="54"/>
      <c r="J79" s="54"/>
      <c r="K79" s="54"/>
      <c r="L79" s="54"/>
      <c r="M79" s="5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 x14ac:dyDescent="0.25">
      <c r="A80" s="10" t="s">
        <v>116</v>
      </c>
      <c r="B80" s="57"/>
      <c r="C80" s="57"/>
      <c r="D80" s="57"/>
      <c r="E80" s="70"/>
      <c r="F80" s="70"/>
      <c r="G80" s="66"/>
      <c r="H80" s="54"/>
      <c r="I80" s="54"/>
      <c r="J80" s="54"/>
      <c r="K80" s="54"/>
      <c r="L80" s="54"/>
      <c r="M80" s="5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thickBot="1" x14ac:dyDescent="0.3">
      <c r="A81" s="6">
        <v>43325</v>
      </c>
      <c r="B81" s="55">
        <v>1923.41</v>
      </c>
      <c r="C81" s="55"/>
      <c r="D81" s="55"/>
      <c r="E81" s="67">
        <v>865.53</v>
      </c>
      <c r="F81" s="68"/>
      <c r="G81" s="69">
        <f>SUM(B81:F81)</f>
        <v>2788.94</v>
      </c>
      <c r="H81" s="56">
        <v>243.67</v>
      </c>
      <c r="I81" s="56">
        <v>48.1</v>
      </c>
      <c r="J81" s="56">
        <f>19.23+66.45+3.24+296.55</f>
        <v>385.47</v>
      </c>
      <c r="K81" s="56">
        <f>H81+I81+J81</f>
        <v>677.24</v>
      </c>
      <c r="L81" s="56">
        <f>G81-K81</f>
        <v>2111.6999999999998</v>
      </c>
      <c r="M81" s="5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thickTop="1" x14ac:dyDescent="0.25">
      <c r="A82" s="28" t="s">
        <v>129</v>
      </c>
      <c r="B82" s="235"/>
      <c r="C82" s="236"/>
      <c r="D82" s="236"/>
      <c r="E82" s="236"/>
      <c r="F82" s="236"/>
      <c r="G82" s="236"/>
      <c r="H82" s="236"/>
      <c r="I82" s="236"/>
      <c r="J82" s="236"/>
      <c r="K82" s="236"/>
      <c r="L82" s="236"/>
      <c r="M82" s="5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 x14ac:dyDescent="0.25">
      <c r="A83" s="3" t="s">
        <v>130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5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 x14ac:dyDescent="0.25">
      <c r="A84" s="5" t="s">
        <v>131</v>
      </c>
      <c r="B84" s="57"/>
      <c r="C84" s="60"/>
      <c r="D84" s="60"/>
      <c r="E84" s="76"/>
      <c r="F84" s="77"/>
      <c r="G84" s="78"/>
      <c r="H84" s="61"/>
      <c r="I84" s="61"/>
      <c r="J84" s="61"/>
      <c r="K84" s="61"/>
      <c r="L84" s="61"/>
      <c r="M84" s="5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 thickBot="1" x14ac:dyDescent="0.3">
      <c r="A85" s="50">
        <v>44509</v>
      </c>
      <c r="B85" s="55">
        <v>2663.52</v>
      </c>
      <c r="C85" s="55"/>
      <c r="D85" s="55"/>
      <c r="E85" s="67"/>
      <c r="F85" s="67"/>
      <c r="G85" s="69">
        <f>SUM(B85:F85)</f>
        <v>2663.52</v>
      </c>
      <c r="H85" s="56">
        <v>223.87</v>
      </c>
      <c r="I85" s="56">
        <v>37.21</v>
      </c>
      <c r="J85" s="56">
        <f>26.64+39.51+66.45+3.64+135.61</f>
        <v>271.85000000000002</v>
      </c>
      <c r="K85" s="56">
        <f>H85+I85+J85</f>
        <v>532.93000000000006</v>
      </c>
      <c r="L85" s="56">
        <f>G85-K85</f>
        <v>2130.59</v>
      </c>
      <c r="M85" s="5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thickTop="1" x14ac:dyDescent="0.25">
      <c r="A86" s="8" t="s">
        <v>132</v>
      </c>
      <c r="B86" s="12"/>
      <c r="C86" s="12"/>
      <c r="D86" s="12"/>
      <c r="E86" s="12"/>
      <c r="F86" s="12"/>
      <c r="G86" s="23"/>
      <c r="H86" s="23"/>
      <c r="I86" s="23"/>
      <c r="J86" s="23"/>
      <c r="K86" s="23"/>
      <c r="L86" s="23"/>
      <c r="M86" s="5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x14ac:dyDescent="0.25">
      <c r="A87" s="5" t="s">
        <v>133</v>
      </c>
      <c r="B87" s="57"/>
      <c r="C87" s="57"/>
      <c r="D87" s="57"/>
      <c r="E87" s="70"/>
      <c r="F87" s="70"/>
      <c r="G87" s="66"/>
      <c r="H87" s="54"/>
      <c r="I87" s="54"/>
      <c r="J87" s="54"/>
      <c r="K87" s="54"/>
      <c r="L87" s="54"/>
      <c r="M87" s="52"/>
      <c r="N87" s="1"/>
      <c r="O87" s="1"/>
      <c r="P87" s="34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6.5" customHeight="1" thickBot="1" x14ac:dyDescent="0.3">
      <c r="A88" s="6">
        <v>43325</v>
      </c>
      <c r="B88" s="55">
        <v>2849.96</v>
      </c>
      <c r="C88" s="55"/>
      <c r="D88" s="55"/>
      <c r="E88" s="67">
        <f>B88*45%</f>
        <v>1282.482</v>
      </c>
      <c r="F88" s="68"/>
      <c r="G88" s="69">
        <f>SUM(B88:F88)</f>
        <v>4132.442</v>
      </c>
      <c r="H88" s="56">
        <v>414.71</v>
      </c>
      <c r="I88" s="56">
        <v>145.97999999999999</v>
      </c>
      <c r="J88" s="56">
        <f>28.5+66.45+3.6+26.71</f>
        <v>125.25999999999999</v>
      </c>
      <c r="K88" s="56">
        <f>H88+I88+J88</f>
        <v>685.94999999999993</v>
      </c>
      <c r="L88" s="56">
        <f>G88-K88</f>
        <v>3446.4920000000002</v>
      </c>
      <c r="M88" s="5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thickTop="1" x14ac:dyDescent="0.25">
      <c r="A89" s="28" t="s">
        <v>134</v>
      </c>
      <c r="B89" s="235"/>
      <c r="C89" s="236"/>
      <c r="D89" s="236"/>
      <c r="E89" s="236"/>
      <c r="F89" s="236"/>
      <c r="G89" s="236"/>
      <c r="H89" s="236"/>
      <c r="I89" s="236"/>
      <c r="J89" s="236"/>
      <c r="K89" s="236"/>
      <c r="L89" s="236"/>
      <c r="M89" s="5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x14ac:dyDescent="0.25">
      <c r="A90" s="8" t="s">
        <v>135</v>
      </c>
      <c r="B90" s="12"/>
      <c r="C90" s="12"/>
      <c r="D90" s="12"/>
      <c r="E90" s="12"/>
      <c r="F90" s="12"/>
      <c r="G90" s="23"/>
      <c r="H90" s="23"/>
      <c r="I90" s="23"/>
      <c r="J90" s="23"/>
      <c r="K90" s="23"/>
      <c r="L90" s="23"/>
      <c r="M90" s="5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x14ac:dyDescent="0.25">
      <c r="A91" s="5" t="s">
        <v>136</v>
      </c>
      <c r="B91" s="57"/>
      <c r="C91" s="57"/>
      <c r="D91" s="57"/>
      <c r="E91" s="70"/>
      <c r="F91" s="70"/>
      <c r="G91" s="66"/>
      <c r="H91" s="54"/>
      <c r="I91" s="54"/>
      <c r="J91" s="54"/>
      <c r="K91" s="54"/>
      <c r="L91" s="54"/>
      <c r="M91" s="52"/>
      <c r="N91" s="1"/>
      <c r="O91" s="1"/>
      <c r="P91" s="34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6.5" customHeight="1" thickBot="1" x14ac:dyDescent="0.3">
      <c r="A92" s="6">
        <v>43675</v>
      </c>
      <c r="B92" s="55">
        <v>2482.2199999999998</v>
      </c>
      <c r="C92" s="55"/>
      <c r="D92" s="55"/>
      <c r="E92" s="67"/>
      <c r="F92" s="68"/>
      <c r="G92" s="69">
        <f>SUM(B92:F92)</f>
        <v>2482.2199999999998</v>
      </c>
      <c r="H92" s="56">
        <v>229.66</v>
      </c>
      <c r="I92" s="56">
        <v>26.14</v>
      </c>
      <c r="J92" s="56">
        <f>66.45+2.7+174.57</f>
        <v>243.72</v>
      </c>
      <c r="K92" s="56">
        <f>H92+I92+J92</f>
        <v>499.52</v>
      </c>
      <c r="L92" s="56">
        <f>G92-K92</f>
        <v>1982.6999999999998</v>
      </c>
      <c r="M92" s="5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thickTop="1" x14ac:dyDescent="0.25">
      <c r="A93" s="28" t="s">
        <v>137</v>
      </c>
      <c r="B93" s="235"/>
      <c r="C93" s="236"/>
      <c r="D93" s="236"/>
      <c r="E93" s="236"/>
      <c r="F93" s="236"/>
      <c r="G93" s="236"/>
      <c r="H93" s="236"/>
      <c r="I93" s="236"/>
      <c r="J93" s="236"/>
      <c r="K93" s="236"/>
      <c r="L93" s="236"/>
      <c r="M93" s="5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 x14ac:dyDescent="0.25">
      <c r="A94" s="8" t="s">
        <v>138</v>
      </c>
      <c r="B94" s="12"/>
      <c r="C94" s="12"/>
      <c r="D94" s="12"/>
      <c r="E94" s="12"/>
      <c r="F94" s="12"/>
      <c r="G94" s="23"/>
      <c r="H94" s="23"/>
      <c r="I94" s="23"/>
      <c r="J94" s="23"/>
      <c r="K94" s="23"/>
      <c r="L94" s="23"/>
      <c r="M94" s="5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x14ac:dyDescent="0.25">
      <c r="A95" s="5" t="s">
        <v>131</v>
      </c>
      <c r="B95" s="57"/>
      <c r="C95" s="57"/>
      <c r="D95" s="57"/>
      <c r="E95" s="70"/>
      <c r="F95" s="70"/>
      <c r="G95" s="66"/>
      <c r="H95" s="54"/>
      <c r="I95" s="54"/>
      <c r="J95" s="54"/>
      <c r="K95" s="54"/>
      <c r="L95" s="54"/>
      <c r="M95" s="52"/>
      <c r="N95" s="1"/>
      <c r="O95" s="1"/>
      <c r="P95" s="34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6.5" customHeight="1" thickBot="1" x14ac:dyDescent="0.3">
      <c r="A96" s="6">
        <v>44516</v>
      </c>
      <c r="B96" s="55">
        <v>2663.52</v>
      </c>
      <c r="C96" s="55"/>
      <c r="D96" s="55"/>
      <c r="E96" s="67"/>
      <c r="F96" s="68"/>
      <c r="G96" s="69">
        <f>SUM(B96:F96)</f>
        <v>2663.52</v>
      </c>
      <c r="H96" s="56">
        <v>228.62</v>
      </c>
      <c r="I96" s="56">
        <v>25.6</v>
      </c>
      <c r="J96" s="56">
        <f>66.45+3.64</f>
        <v>70.09</v>
      </c>
      <c r="K96" s="56">
        <f>H96+I96+J96</f>
        <v>324.31</v>
      </c>
      <c r="L96" s="56">
        <f>G96-K96</f>
        <v>2339.21</v>
      </c>
      <c r="M96" s="5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thickTop="1" x14ac:dyDescent="0.25">
      <c r="A97" s="28" t="s">
        <v>139</v>
      </c>
      <c r="B97" s="235"/>
      <c r="C97" s="236"/>
      <c r="D97" s="236"/>
      <c r="E97" s="236"/>
      <c r="F97" s="236"/>
      <c r="G97" s="236"/>
      <c r="H97" s="236"/>
      <c r="I97" s="236"/>
      <c r="J97" s="236"/>
      <c r="K97" s="236"/>
      <c r="L97" s="236"/>
      <c r="M97" s="5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x14ac:dyDescent="0.25">
      <c r="A98" s="8" t="s">
        <v>140</v>
      </c>
      <c r="B98" s="57"/>
      <c r="C98" s="57"/>
      <c r="D98" s="57"/>
      <c r="E98" s="70"/>
      <c r="F98" s="79"/>
      <c r="G98" s="66"/>
      <c r="H98" s="54"/>
      <c r="I98" s="54"/>
      <c r="J98" s="54"/>
      <c r="K98" s="54"/>
      <c r="L98" s="54"/>
      <c r="M98" s="5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25">
      <c r="A99" s="10" t="s">
        <v>131</v>
      </c>
      <c r="B99" s="57"/>
      <c r="C99" s="57"/>
      <c r="D99" s="57"/>
      <c r="E99" s="70"/>
      <c r="F99" s="79"/>
      <c r="G99" s="66"/>
      <c r="H99" s="54"/>
      <c r="I99" s="54"/>
      <c r="J99" s="54"/>
      <c r="K99" s="54"/>
      <c r="L99" s="54"/>
      <c r="M99" s="5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thickBot="1" x14ac:dyDescent="0.3">
      <c r="A100" s="6">
        <v>44249</v>
      </c>
      <c r="B100" s="55">
        <v>2663.52</v>
      </c>
      <c r="C100" s="55"/>
      <c r="D100" s="55"/>
      <c r="E100" s="67"/>
      <c r="F100" s="68"/>
      <c r="G100" s="69">
        <f>SUM(B100:F100)</f>
        <v>2663.52</v>
      </c>
      <c r="H100" s="56">
        <v>228.62</v>
      </c>
      <c r="I100" s="56">
        <v>11.38</v>
      </c>
      <c r="J100" s="56">
        <f>66.45+3.64+162.58+26.71</f>
        <v>259.38</v>
      </c>
      <c r="K100" s="56">
        <f>H100+I100+J100</f>
        <v>499.38</v>
      </c>
      <c r="L100" s="56">
        <f>G100-K100</f>
        <v>2164.14</v>
      </c>
      <c r="M100" s="5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thickTop="1" x14ac:dyDescent="0.25">
      <c r="A101" s="28" t="s">
        <v>141</v>
      </c>
      <c r="B101" s="235"/>
      <c r="C101" s="236"/>
      <c r="D101" s="236"/>
      <c r="E101" s="236"/>
      <c r="F101" s="236"/>
      <c r="G101" s="236"/>
      <c r="H101" s="236"/>
      <c r="I101" s="236"/>
      <c r="J101" s="236"/>
      <c r="K101" s="236"/>
      <c r="L101" s="236"/>
      <c r="M101" s="5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x14ac:dyDescent="0.25">
      <c r="A102" s="8" t="s">
        <v>142</v>
      </c>
      <c r="B102" s="57"/>
      <c r="C102" s="57"/>
      <c r="D102" s="57"/>
      <c r="E102" s="70"/>
      <c r="F102" s="79"/>
      <c r="G102" s="66"/>
      <c r="H102" s="54"/>
      <c r="I102" s="54"/>
      <c r="J102" s="54"/>
      <c r="K102" s="54"/>
      <c r="L102" s="54"/>
      <c r="M102" s="5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 x14ac:dyDescent="0.25">
      <c r="A103" s="10" t="s">
        <v>131</v>
      </c>
      <c r="B103" s="57"/>
      <c r="C103" s="57"/>
      <c r="D103" s="57"/>
      <c r="E103" s="70"/>
      <c r="F103" s="79"/>
      <c r="G103" s="66"/>
      <c r="H103" s="54"/>
      <c r="I103" s="54"/>
      <c r="J103" s="54"/>
      <c r="K103" s="54"/>
      <c r="L103" s="54"/>
      <c r="M103" s="5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 thickBot="1" x14ac:dyDescent="0.3">
      <c r="A104" s="6">
        <v>44249</v>
      </c>
      <c r="B104" s="55">
        <v>2663.52</v>
      </c>
      <c r="C104" s="55"/>
      <c r="D104" s="55"/>
      <c r="E104" s="67"/>
      <c r="F104" s="68"/>
      <c r="G104" s="69">
        <f>SUM(B104:F104)</f>
        <v>2663.52</v>
      </c>
      <c r="H104" s="56">
        <v>228.62</v>
      </c>
      <c r="I104" s="56">
        <v>39.82</v>
      </c>
      <c r="J104" s="56">
        <f>66.45+3.62</f>
        <v>70.070000000000007</v>
      </c>
      <c r="K104" s="56">
        <f>H104+I104+J104</f>
        <v>338.51</v>
      </c>
      <c r="L104" s="56">
        <f>G104-K104</f>
        <v>2325.0100000000002</v>
      </c>
      <c r="M104" s="5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 thickTop="1" x14ac:dyDescent="0.25">
      <c r="A105" s="28" t="s">
        <v>147</v>
      </c>
      <c r="B105" s="235"/>
      <c r="C105" s="236"/>
      <c r="D105" s="236"/>
      <c r="E105" s="236"/>
      <c r="F105" s="236"/>
      <c r="G105" s="236"/>
      <c r="H105" s="236"/>
      <c r="I105" s="236"/>
      <c r="J105" s="236"/>
      <c r="K105" s="236"/>
      <c r="L105" s="236"/>
      <c r="M105" s="5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 x14ac:dyDescent="0.25">
      <c r="A106" s="8" t="s">
        <v>148</v>
      </c>
      <c r="B106" s="245" t="s">
        <v>152</v>
      </c>
      <c r="C106" s="245"/>
      <c r="D106" s="245"/>
      <c r="E106" s="245"/>
      <c r="F106" s="245"/>
      <c r="G106" s="245"/>
      <c r="H106" s="245"/>
      <c r="I106" s="245"/>
      <c r="J106" s="245"/>
      <c r="K106" s="245"/>
      <c r="L106" s="245"/>
      <c r="M106" s="52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customHeight="1" x14ac:dyDescent="0.25">
      <c r="A107" s="10" t="s">
        <v>149</v>
      </c>
      <c r="B107" s="57"/>
      <c r="C107" s="57"/>
      <c r="D107" s="57"/>
      <c r="E107" s="70"/>
      <c r="F107" s="79"/>
      <c r="G107" s="66"/>
      <c r="H107" s="54"/>
      <c r="I107" s="54"/>
      <c r="J107" s="54"/>
      <c r="K107" s="54"/>
      <c r="L107" s="54"/>
      <c r="M107" s="52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.75" customHeight="1" thickBot="1" x14ac:dyDescent="0.3">
      <c r="A108" s="6">
        <v>44615</v>
      </c>
      <c r="B108" s="55"/>
      <c r="C108" s="55"/>
      <c r="D108" s="55"/>
      <c r="E108" s="67"/>
      <c r="F108" s="68"/>
      <c r="G108" s="69">
        <f>SUM(B108:F108)</f>
        <v>0</v>
      </c>
      <c r="H108" s="56"/>
      <c r="I108" s="56"/>
      <c r="J108" s="56"/>
      <c r="K108" s="56">
        <f>H108+I108+J108</f>
        <v>0</v>
      </c>
      <c r="L108" s="56">
        <f>G108-K108</f>
        <v>0</v>
      </c>
      <c r="M108" s="5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" customHeight="1" thickTop="1" x14ac:dyDescent="0.2">
      <c r="B109" s="63"/>
      <c r="C109" s="63"/>
      <c r="D109" s="63"/>
      <c r="E109" s="81"/>
      <c r="F109" s="81"/>
      <c r="G109" s="81"/>
      <c r="H109" s="63"/>
      <c r="I109" s="63"/>
      <c r="J109" s="63"/>
      <c r="K109" s="63"/>
      <c r="L109" s="63"/>
    </row>
    <row r="110" spans="1:32" ht="15" customHeight="1" x14ac:dyDescent="0.2">
      <c r="B110" s="63"/>
      <c r="C110" s="63"/>
      <c r="D110" s="63"/>
      <c r="E110" s="81"/>
      <c r="F110" s="81"/>
      <c r="G110" s="81"/>
      <c r="H110" s="63"/>
      <c r="I110" s="63"/>
      <c r="J110" s="63"/>
      <c r="K110" s="63"/>
      <c r="L110" s="63"/>
    </row>
    <row r="111" spans="1:32" ht="15" customHeight="1" x14ac:dyDescent="0.2">
      <c r="B111" s="63"/>
      <c r="C111" s="63"/>
      <c r="D111" s="63"/>
      <c r="E111" s="81"/>
      <c r="F111" s="81"/>
      <c r="G111" s="81"/>
      <c r="H111" s="63"/>
      <c r="I111" s="63"/>
      <c r="J111" s="63"/>
      <c r="K111" s="63"/>
      <c r="L111" s="63"/>
    </row>
    <row r="112" spans="1:32" ht="15" customHeight="1" x14ac:dyDescent="0.2">
      <c r="B112" s="63"/>
      <c r="C112" s="63"/>
      <c r="D112" s="63"/>
      <c r="E112" s="81"/>
      <c r="F112" s="81"/>
      <c r="G112" s="81"/>
      <c r="H112" s="63"/>
      <c r="I112" s="63"/>
      <c r="J112" s="63"/>
      <c r="K112" s="63"/>
      <c r="L112" s="63"/>
    </row>
    <row r="113" spans="1:32" ht="15" customHeight="1" x14ac:dyDescent="0.2">
      <c r="B113" s="63"/>
      <c r="C113" s="63"/>
      <c r="D113" s="63"/>
      <c r="E113" s="81"/>
      <c r="F113" s="81"/>
      <c r="G113" s="81"/>
      <c r="H113" s="63"/>
      <c r="I113" s="63"/>
      <c r="J113" s="63"/>
      <c r="K113" s="63"/>
      <c r="L113" s="63"/>
    </row>
    <row r="114" spans="1:32" ht="15" customHeight="1" x14ac:dyDescent="0.2">
      <c r="B114" s="63"/>
      <c r="C114" s="63"/>
      <c r="D114" s="63"/>
      <c r="E114" s="81"/>
      <c r="F114" s="81"/>
      <c r="G114" s="81"/>
      <c r="H114" s="63"/>
      <c r="I114" s="63"/>
      <c r="J114" s="63"/>
      <c r="K114" s="63"/>
      <c r="L114" s="63"/>
    </row>
    <row r="115" spans="1:32" ht="15" customHeight="1" x14ac:dyDescent="0.2">
      <c r="B115" s="63"/>
      <c r="C115" s="63"/>
      <c r="D115" s="63"/>
      <c r="E115" s="81"/>
      <c r="F115" s="81"/>
      <c r="G115" s="81"/>
      <c r="H115" s="63"/>
      <c r="I115" s="63"/>
      <c r="J115" s="63"/>
      <c r="K115" s="63"/>
      <c r="L115" s="63"/>
    </row>
    <row r="116" spans="1:32" ht="15" customHeight="1" x14ac:dyDescent="0.2">
      <c r="B116" s="63"/>
      <c r="C116" s="63"/>
      <c r="D116" s="63"/>
      <c r="E116" s="81"/>
      <c r="F116" s="81"/>
      <c r="G116" s="81"/>
      <c r="H116" s="63"/>
      <c r="I116" s="63"/>
      <c r="J116" s="63"/>
      <c r="K116" s="63"/>
      <c r="L116" s="63"/>
    </row>
    <row r="117" spans="1:32" ht="15" customHeight="1" x14ac:dyDescent="0.2">
      <c r="B117" s="63"/>
      <c r="C117" s="63"/>
      <c r="D117" s="63"/>
      <c r="E117" s="81"/>
      <c r="F117" s="81"/>
      <c r="G117" s="81"/>
      <c r="H117" s="63"/>
      <c r="I117" s="63"/>
      <c r="J117" s="63"/>
      <c r="K117" s="63"/>
      <c r="L117" s="63"/>
    </row>
    <row r="118" spans="1:32" ht="15" customHeight="1" x14ac:dyDescent="0.2">
      <c r="B118" s="63"/>
      <c r="C118" s="63"/>
      <c r="D118" s="63"/>
      <c r="E118" s="81"/>
      <c r="F118" s="81"/>
      <c r="G118" s="81"/>
      <c r="H118" s="63"/>
      <c r="I118" s="63"/>
      <c r="J118" s="63"/>
      <c r="K118" s="63"/>
      <c r="L118" s="63"/>
    </row>
    <row r="119" spans="1:32" ht="15" customHeight="1" x14ac:dyDescent="0.2">
      <c r="B119" s="63"/>
      <c r="C119" s="63"/>
      <c r="D119" s="63"/>
      <c r="E119" s="81"/>
      <c r="F119" s="81"/>
      <c r="G119" s="81"/>
      <c r="H119" s="63"/>
      <c r="I119" s="63"/>
      <c r="J119" s="63"/>
      <c r="K119" s="63"/>
      <c r="L119" s="63"/>
    </row>
    <row r="120" spans="1:32" ht="15" customHeight="1" x14ac:dyDescent="0.2">
      <c r="B120" s="63"/>
      <c r="C120" s="63"/>
      <c r="D120" s="63"/>
      <c r="E120" s="81"/>
      <c r="F120" s="81"/>
      <c r="G120" s="81"/>
      <c r="H120" s="63"/>
      <c r="I120" s="63"/>
      <c r="J120" s="63"/>
      <c r="K120" s="63"/>
      <c r="L120" s="63"/>
    </row>
    <row r="121" spans="1:32" ht="15.75" customHeight="1" x14ac:dyDescent="0.25">
      <c r="A121" s="1"/>
      <c r="B121" s="60"/>
      <c r="C121" s="60"/>
      <c r="D121" s="60"/>
      <c r="E121" s="76"/>
      <c r="F121" s="76"/>
      <c r="G121" s="76"/>
      <c r="H121" s="60"/>
      <c r="I121" s="60"/>
      <c r="J121" s="60"/>
      <c r="K121" s="60"/>
      <c r="L121" s="60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60"/>
      <c r="C122" s="60"/>
      <c r="D122" s="60"/>
      <c r="E122" s="76"/>
      <c r="F122" s="76"/>
      <c r="G122" s="76"/>
      <c r="H122" s="60"/>
      <c r="I122" s="60"/>
      <c r="J122" s="60"/>
      <c r="K122" s="60"/>
      <c r="L122" s="6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60"/>
      <c r="C123" s="60"/>
      <c r="D123" s="60"/>
      <c r="E123" s="76"/>
      <c r="F123" s="76"/>
      <c r="G123" s="76"/>
      <c r="H123" s="60"/>
      <c r="I123" s="60"/>
      <c r="J123" s="60"/>
      <c r="K123" s="60"/>
      <c r="L123" s="6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60"/>
      <c r="C124" s="60"/>
      <c r="D124" s="60"/>
      <c r="E124" s="76"/>
      <c r="F124" s="76"/>
      <c r="G124" s="76"/>
      <c r="H124" s="60"/>
      <c r="I124" s="60"/>
      <c r="J124" s="60"/>
      <c r="K124" s="60"/>
      <c r="L124" s="6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60"/>
      <c r="C125" s="60"/>
      <c r="D125" s="60"/>
      <c r="E125" s="76"/>
      <c r="F125" s="76"/>
      <c r="G125" s="76"/>
      <c r="H125" s="60"/>
      <c r="I125" s="60"/>
      <c r="J125" s="60"/>
      <c r="K125" s="60"/>
      <c r="L125" s="6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60"/>
      <c r="C126" s="60"/>
      <c r="D126" s="60"/>
      <c r="E126" s="76"/>
      <c r="F126" s="76"/>
      <c r="G126" s="76"/>
      <c r="H126" s="60"/>
      <c r="I126" s="60"/>
      <c r="J126" s="60"/>
      <c r="K126" s="60"/>
      <c r="L126" s="6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60"/>
      <c r="C127" s="60"/>
      <c r="D127" s="60"/>
      <c r="E127" s="76"/>
      <c r="F127" s="76"/>
      <c r="G127" s="76"/>
      <c r="H127" s="60"/>
      <c r="I127" s="60"/>
      <c r="J127" s="60"/>
      <c r="K127" s="60"/>
      <c r="L127" s="64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60"/>
      <c r="C128" s="60"/>
      <c r="D128" s="60"/>
      <c r="E128" s="76"/>
      <c r="F128" s="76"/>
      <c r="G128" s="76"/>
      <c r="H128" s="60"/>
      <c r="I128" s="60"/>
      <c r="J128" s="60"/>
      <c r="K128" s="60"/>
      <c r="L128" s="6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60"/>
      <c r="C129" s="60"/>
      <c r="D129" s="60"/>
      <c r="E129" s="76"/>
      <c r="F129" s="76"/>
      <c r="G129" s="76"/>
      <c r="H129" s="60"/>
      <c r="I129" s="60"/>
      <c r="J129" s="60"/>
      <c r="K129" s="60"/>
      <c r="L129" s="6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60"/>
      <c r="C130" s="60"/>
      <c r="D130" s="60"/>
      <c r="E130" s="76"/>
      <c r="F130" s="76"/>
      <c r="G130" s="76"/>
      <c r="H130" s="60"/>
      <c r="I130" s="60"/>
      <c r="J130" s="60"/>
      <c r="K130" s="60"/>
      <c r="L130" s="6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60"/>
      <c r="C131" s="60"/>
      <c r="D131" s="60"/>
      <c r="E131" s="76"/>
      <c r="F131" s="76"/>
      <c r="G131" s="76"/>
      <c r="H131" s="60"/>
      <c r="I131" s="60"/>
      <c r="J131" s="60"/>
      <c r="K131" s="60"/>
      <c r="L131" s="6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60"/>
      <c r="C132" s="60"/>
      <c r="D132" s="60"/>
      <c r="E132" s="76"/>
      <c r="F132" s="76"/>
      <c r="G132" s="76"/>
      <c r="H132" s="60"/>
      <c r="I132" s="60"/>
      <c r="J132" s="60"/>
      <c r="K132" s="60"/>
      <c r="L132" s="6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60"/>
      <c r="C133" s="60"/>
      <c r="D133" s="60"/>
      <c r="E133" s="76"/>
      <c r="F133" s="76"/>
      <c r="G133" s="76"/>
      <c r="H133" s="60"/>
      <c r="I133" s="60"/>
      <c r="J133" s="60"/>
      <c r="K133" s="60"/>
      <c r="L133" s="6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60"/>
      <c r="C134" s="60"/>
      <c r="D134" s="60"/>
      <c r="E134" s="76"/>
      <c r="F134" s="76"/>
      <c r="G134" s="76"/>
      <c r="H134" s="60"/>
      <c r="I134" s="60"/>
      <c r="J134" s="60"/>
      <c r="K134" s="60"/>
      <c r="L134" s="60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60"/>
      <c r="C135" s="60"/>
      <c r="D135" s="60"/>
      <c r="E135" s="76"/>
      <c r="F135" s="76"/>
      <c r="G135" s="76"/>
      <c r="H135" s="60"/>
      <c r="I135" s="60"/>
      <c r="J135" s="60"/>
      <c r="K135" s="60"/>
      <c r="L135" s="6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60"/>
      <c r="C136" s="60"/>
      <c r="D136" s="60"/>
      <c r="E136" s="76"/>
      <c r="F136" s="76"/>
      <c r="G136" s="76"/>
      <c r="H136" s="60"/>
      <c r="I136" s="60"/>
      <c r="J136" s="60"/>
      <c r="K136" s="60"/>
      <c r="L136" s="6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60"/>
      <c r="C137" s="60"/>
      <c r="D137" s="60"/>
      <c r="E137" s="76"/>
      <c r="F137" s="76"/>
      <c r="G137" s="76"/>
      <c r="H137" s="60"/>
      <c r="I137" s="60"/>
      <c r="J137" s="60"/>
      <c r="K137" s="60"/>
      <c r="L137" s="6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60"/>
      <c r="C138" s="60"/>
      <c r="D138" s="60"/>
      <c r="E138" s="76"/>
      <c r="F138" s="76"/>
      <c r="G138" s="76"/>
      <c r="H138" s="60"/>
      <c r="I138" s="60"/>
      <c r="J138" s="60"/>
      <c r="K138" s="60"/>
      <c r="L138" s="60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25">
      <c r="A139" s="1"/>
      <c r="B139" s="60"/>
      <c r="C139" s="60"/>
      <c r="D139" s="60"/>
      <c r="E139" s="76"/>
      <c r="F139" s="76"/>
      <c r="G139" s="76"/>
      <c r="H139" s="60"/>
      <c r="I139" s="60"/>
      <c r="J139" s="60"/>
      <c r="K139" s="60"/>
      <c r="L139" s="60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25">
      <c r="A140" s="1"/>
      <c r="B140" s="60"/>
      <c r="C140" s="60"/>
      <c r="D140" s="60"/>
      <c r="E140" s="76"/>
      <c r="F140" s="76"/>
      <c r="G140" s="76"/>
      <c r="H140" s="60"/>
      <c r="I140" s="60"/>
      <c r="J140" s="60"/>
      <c r="K140" s="60"/>
      <c r="L140" s="60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25">
      <c r="A141" s="1"/>
      <c r="B141" s="60"/>
      <c r="C141" s="60"/>
      <c r="D141" s="60"/>
      <c r="E141" s="76"/>
      <c r="F141" s="76"/>
      <c r="G141" s="76"/>
      <c r="H141" s="60"/>
      <c r="I141" s="60"/>
      <c r="J141" s="60"/>
      <c r="K141" s="60"/>
      <c r="L141" s="6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25">
      <c r="A142" s="1"/>
      <c r="B142" s="60"/>
      <c r="C142" s="60"/>
      <c r="D142" s="60"/>
      <c r="E142" s="76"/>
      <c r="F142" s="76"/>
      <c r="G142" s="76"/>
      <c r="H142" s="60"/>
      <c r="I142" s="60"/>
      <c r="J142" s="60"/>
      <c r="K142" s="60"/>
      <c r="L142" s="6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25">
      <c r="A143" s="1"/>
      <c r="B143" s="60"/>
      <c r="C143" s="60"/>
      <c r="D143" s="60"/>
      <c r="E143" s="76"/>
      <c r="F143" s="76"/>
      <c r="G143" s="76"/>
      <c r="H143" s="60"/>
      <c r="I143" s="60"/>
      <c r="J143" s="60"/>
      <c r="K143" s="60"/>
      <c r="L143" s="60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25">
      <c r="A144" s="1"/>
      <c r="B144" s="60"/>
      <c r="C144" s="60"/>
      <c r="D144" s="60"/>
      <c r="E144" s="76"/>
      <c r="F144" s="76"/>
      <c r="G144" s="76"/>
      <c r="H144" s="60"/>
      <c r="I144" s="60"/>
      <c r="J144" s="60"/>
      <c r="K144" s="60"/>
      <c r="L144" s="60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25">
      <c r="A145" s="1"/>
      <c r="B145" s="60"/>
      <c r="C145" s="60"/>
      <c r="D145" s="60"/>
      <c r="E145" s="76"/>
      <c r="F145" s="76"/>
      <c r="G145" s="76"/>
      <c r="H145" s="60"/>
      <c r="I145" s="60"/>
      <c r="J145" s="60"/>
      <c r="K145" s="60"/>
      <c r="L145" s="60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25">
      <c r="A146" s="1"/>
      <c r="B146" s="60"/>
      <c r="C146" s="60"/>
      <c r="D146" s="60"/>
      <c r="E146" s="76"/>
      <c r="F146" s="76"/>
      <c r="G146" s="76"/>
      <c r="H146" s="60"/>
      <c r="I146" s="60"/>
      <c r="J146" s="60"/>
      <c r="K146" s="60"/>
      <c r="L146" s="6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25">
      <c r="A147" s="1"/>
      <c r="B147" s="60"/>
      <c r="C147" s="60"/>
      <c r="D147" s="60"/>
      <c r="E147" s="76"/>
      <c r="F147" s="76"/>
      <c r="G147" s="76"/>
      <c r="H147" s="60"/>
      <c r="I147" s="60"/>
      <c r="J147" s="60"/>
      <c r="K147" s="60"/>
      <c r="L147" s="6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25">
      <c r="A148" s="1"/>
      <c r="B148" s="60"/>
      <c r="C148" s="60"/>
      <c r="D148" s="60"/>
      <c r="E148" s="76"/>
      <c r="F148" s="76"/>
      <c r="G148" s="76"/>
      <c r="H148" s="60"/>
      <c r="I148" s="60"/>
      <c r="J148" s="60"/>
      <c r="K148" s="60"/>
      <c r="L148" s="60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25">
      <c r="A149" s="1"/>
      <c r="B149" s="60"/>
      <c r="C149" s="60"/>
      <c r="D149" s="60"/>
      <c r="E149" s="76"/>
      <c r="F149" s="76"/>
      <c r="G149" s="76"/>
      <c r="H149" s="60"/>
      <c r="I149" s="60"/>
      <c r="J149" s="60"/>
      <c r="K149" s="60"/>
      <c r="L149" s="60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25">
      <c r="A150" s="1"/>
      <c r="B150" s="60"/>
      <c r="C150" s="60"/>
      <c r="D150" s="60"/>
      <c r="E150" s="76"/>
      <c r="F150" s="76"/>
      <c r="G150" s="76"/>
      <c r="H150" s="60"/>
      <c r="I150" s="60"/>
      <c r="J150" s="60"/>
      <c r="K150" s="60"/>
      <c r="L150" s="60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25">
      <c r="A151" s="1"/>
      <c r="B151" s="60"/>
      <c r="C151" s="60"/>
      <c r="D151" s="60"/>
      <c r="E151" s="76"/>
      <c r="F151" s="76"/>
      <c r="G151" s="76"/>
      <c r="H151" s="60"/>
      <c r="I151" s="60"/>
      <c r="J151" s="60"/>
      <c r="K151" s="60"/>
      <c r="L151" s="60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25">
      <c r="A152" s="1"/>
      <c r="B152" s="60"/>
      <c r="C152" s="60"/>
      <c r="D152" s="60"/>
      <c r="E152" s="76"/>
      <c r="F152" s="76"/>
      <c r="G152" s="76"/>
      <c r="H152" s="60"/>
      <c r="I152" s="60"/>
      <c r="J152" s="60"/>
      <c r="K152" s="60"/>
      <c r="L152" s="6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25">
      <c r="A153" s="1"/>
      <c r="B153" s="60"/>
      <c r="C153" s="60"/>
      <c r="D153" s="60"/>
      <c r="E153" s="76"/>
      <c r="F153" s="76"/>
      <c r="G153" s="76"/>
      <c r="H153" s="60"/>
      <c r="I153" s="60"/>
      <c r="J153" s="60"/>
      <c r="K153" s="60"/>
      <c r="L153" s="60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25">
      <c r="A154" s="1"/>
      <c r="B154" s="60"/>
      <c r="C154" s="60"/>
      <c r="D154" s="60"/>
      <c r="E154" s="76"/>
      <c r="F154" s="76"/>
      <c r="G154" s="76"/>
      <c r="H154" s="60"/>
      <c r="I154" s="60"/>
      <c r="J154" s="60"/>
      <c r="K154" s="60"/>
      <c r="L154" s="60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25">
      <c r="A155" s="1"/>
      <c r="B155" s="60"/>
      <c r="C155" s="60"/>
      <c r="D155" s="60"/>
      <c r="E155" s="76"/>
      <c r="F155" s="76"/>
      <c r="G155" s="76"/>
      <c r="H155" s="60"/>
      <c r="I155" s="60"/>
      <c r="J155" s="60"/>
      <c r="K155" s="60"/>
      <c r="L155" s="60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25">
      <c r="A156" s="1"/>
      <c r="B156" s="60"/>
      <c r="C156" s="60"/>
      <c r="D156" s="60"/>
      <c r="E156" s="76"/>
      <c r="F156" s="76"/>
      <c r="G156" s="76"/>
      <c r="H156" s="60"/>
      <c r="I156" s="60"/>
      <c r="J156" s="60"/>
      <c r="K156" s="60"/>
      <c r="L156" s="60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25">
      <c r="A157" s="1"/>
      <c r="B157" s="60"/>
      <c r="C157" s="60"/>
      <c r="D157" s="60"/>
      <c r="E157" s="76"/>
      <c r="F157" s="76"/>
      <c r="G157" s="76"/>
      <c r="H157" s="60"/>
      <c r="I157" s="60"/>
      <c r="J157" s="60"/>
      <c r="K157" s="60"/>
      <c r="L157" s="60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25">
      <c r="A158" s="1"/>
      <c r="B158" s="60"/>
      <c r="C158" s="60"/>
      <c r="D158" s="60"/>
      <c r="E158" s="76"/>
      <c r="F158" s="76"/>
      <c r="G158" s="76"/>
      <c r="H158" s="60"/>
      <c r="I158" s="60"/>
      <c r="J158" s="60"/>
      <c r="K158" s="60"/>
      <c r="L158" s="60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25">
      <c r="A159" s="1"/>
      <c r="B159" s="60"/>
      <c r="C159" s="60"/>
      <c r="D159" s="60"/>
      <c r="E159" s="76"/>
      <c r="F159" s="76"/>
      <c r="G159" s="76"/>
      <c r="H159" s="60"/>
      <c r="I159" s="60"/>
      <c r="J159" s="60"/>
      <c r="K159" s="60"/>
      <c r="L159" s="60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25">
      <c r="A160" s="1"/>
      <c r="B160" s="60"/>
      <c r="C160" s="60"/>
      <c r="D160" s="60"/>
      <c r="E160" s="76"/>
      <c r="F160" s="76"/>
      <c r="G160" s="76"/>
      <c r="H160" s="60"/>
      <c r="I160" s="60"/>
      <c r="J160" s="60"/>
      <c r="K160" s="60"/>
      <c r="L160" s="60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25">
      <c r="A161" s="1"/>
      <c r="B161" s="60"/>
      <c r="C161" s="60"/>
      <c r="D161" s="60"/>
      <c r="E161" s="76"/>
      <c r="F161" s="76"/>
      <c r="G161" s="76"/>
      <c r="H161" s="60"/>
      <c r="I161" s="60"/>
      <c r="J161" s="60"/>
      <c r="K161" s="60"/>
      <c r="L161" s="6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25">
      <c r="A162" s="1"/>
      <c r="B162" s="60"/>
      <c r="C162" s="60"/>
      <c r="D162" s="60"/>
      <c r="E162" s="76"/>
      <c r="F162" s="76"/>
      <c r="G162" s="76"/>
      <c r="H162" s="60"/>
      <c r="I162" s="60"/>
      <c r="J162" s="60"/>
      <c r="K162" s="60"/>
      <c r="L162" s="60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25">
      <c r="A163" s="1"/>
      <c r="B163" s="60"/>
      <c r="C163" s="60"/>
      <c r="D163" s="60"/>
      <c r="E163" s="76"/>
      <c r="F163" s="76"/>
      <c r="G163" s="76"/>
      <c r="H163" s="60"/>
      <c r="I163" s="60"/>
      <c r="J163" s="60"/>
      <c r="K163" s="60"/>
      <c r="L163" s="60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25">
      <c r="A164" s="1"/>
      <c r="B164" s="60"/>
      <c r="C164" s="60"/>
      <c r="D164" s="60"/>
      <c r="E164" s="76"/>
      <c r="F164" s="76"/>
      <c r="G164" s="76"/>
      <c r="H164" s="60"/>
      <c r="I164" s="60"/>
      <c r="J164" s="60"/>
      <c r="K164" s="60"/>
      <c r="L164" s="60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25">
      <c r="A165" s="1"/>
      <c r="B165" s="60"/>
      <c r="C165" s="60"/>
      <c r="D165" s="60"/>
      <c r="E165" s="76"/>
      <c r="F165" s="76"/>
      <c r="G165" s="76"/>
      <c r="H165" s="60"/>
      <c r="I165" s="60"/>
      <c r="J165" s="60"/>
      <c r="K165" s="60"/>
      <c r="L165" s="6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25">
      <c r="A166" s="1"/>
      <c r="B166" s="60"/>
      <c r="C166" s="60"/>
      <c r="D166" s="60"/>
      <c r="E166" s="76"/>
      <c r="F166" s="76"/>
      <c r="G166" s="76"/>
      <c r="H166" s="60"/>
      <c r="I166" s="60"/>
      <c r="J166" s="60"/>
      <c r="K166" s="60"/>
      <c r="L166" s="60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25">
      <c r="A167" s="1"/>
      <c r="B167" s="60"/>
      <c r="C167" s="60"/>
      <c r="D167" s="60"/>
      <c r="E167" s="76"/>
      <c r="F167" s="76"/>
      <c r="G167" s="76"/>
      <c r="H167" s="60"/>
      <c r="I167" s="60"/>
      <c r="J167" s="60"/>
      <c r="K167" s="60"/>
      <c r="L167" s="6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25">
      <c r="A168" s="1"/>
      <c r="B168" s="60"/>
      <c r="C168" s="60"/>
      <c r="D168" s="60"/>
      <c r="E168" s="76"/>
      <c r="F168" s="76"/>
      <c r="G168" s="76"/>
      <c r="H168" s="60"/>
      <c r="I168" s="60"/>
      <c r="J168" s="60"/>
      <c r="K168" s="60"/>
      <c r="L168" s="6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25">
      <c r="A169" s="1"/>
      <c r="B169" s="60"/>
      <c r="C169" s="60"/>
      <c r="D169" s="60"/>
      <c r="E169" s="76"/>
      <c r="F169" s="76"/>
      <c r="G169" s="76"/>
      <c r="H169" s="60"/>
      <c r="I169" s="60"/>
      <c r="J169" s="60"/>
      <c r="K169" s="60"/>
      <c r="L169" s="60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25">
      <c r="A170" s="1"/>
      <c r="B170" s="60"/>
      <c r="C170" s="60"/>
      <c r="D170" s="60"/>
      <c r="E170" s="76"/>
      <c r="F170" s="76"/>
      <c r="G170" s="76"/>
      <c r="H170" s="60"/>
      <c r="I170" s="60"/>
      <c r="J170" s="60"/>
      <c r="K170" s="60"/>
      <c r="L170" s="6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25">
      <c r="A171" s="1"/>
      <c r="B171" s="60"/>
      <c r="C171" s="60"/>
      <c r="D171" s="60"/>
      <c r="E171" s="76"/>
      <c r="F171" s="76"/>
      <c r="G171" s="76"/>
      <c r="H171" s="60"/>
      <c r="I171" s="60"/>
      <c r="J171" s="60"/>
      <c r="K171" s="60"/>
      <c r="L171" s="60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25">
      <c r="A172" s="1"/>
      <c r="B172" s="60"/>
      <c r="C172" s="60"/>
      <c r="D172" s="60"/>
      <c r="E172" s="76"/>
      <c r="F172" s="76"/>
      <c r="G172" s="76"/>
      <c r="H172" s="60"/>
      <c r="I172" s="60"/>
      <c r="J172" s="60"/>
      <c r="K172" s="60"/>
      <c r="L172" s="6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25">
      <c r="A173" s="1"/>
      <c r="B173" s="60"/>
      <c r="C173" s="60"/>
      <c r="D173" s="60"/>
      <c r="E173" s="76"/>
      <c r="F173" s="76"/>
      <c r="G173" s="76"/>
      <c r="H173" s="60"/>
      <c r="I173" s="60"/>
      <c r="J173" s="60"/>
      <c r="K173" s="60"/>
      <c r="L173" s="60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25">
      <c r="A174" s="1"/>
      <c r="B174" s="60"/>
      <c r="C174" s="60"/>
      <c r="D174" s="60"/>
      <c r="E174" s="76"/>
      <c r="F174" s="76"/>
      <c r="G174" s="76"/>
      <c r="H174" s="60"/>
      <c r="I174" s="60"/>
      <c r="J174" s="60"/>
      <c r="K174" s="60"/>
      <c r="L174" s="6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25">
      <c r="A175" s="1"/>
      <c r="B175" s="60"/>
      <c r="C175" s="60"/>
      <c r="D175" s="60"/>
      <c r="E175" s="76"/>
      <c r="F175" s="76"/>
      <c r="G175" s="76"/>
      <c r="H175" s="60"/>
      <c r="I175" s="60"/>
      <c r="J175" s="60"/>
      <c r="K175" s="60"/>
      <c r="L175" s="6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25">
      <c r="A176" s="1"/>
      <c r="B176" s="60"/>
      <c r="C176" s="60"/>
      <c r="D176" s="60"/>
      <c r="E176" s="76"/>
      <c r="F176" s="76"/>
      <c r="G176" s="76"/>
      <c r="H176" s="60"/>
      <c r="I176" s="60"/>
      <c r="J176" s="60"/>
      <c r="K176" s="60"/>
      <c r="L176" s="60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25">
      <c r="A177" s="1"/>
      <c r="B177" s="60"/>
      <c r="C177" s="60"/>
      <c r="D177" s="60"/>
      <c r="E177" s="76"/>
      <c r="F177" s="76"/>
      <c r="G177" s="76"/>
      <c r="H177" s="60"/>
      <c r="I177" s="60"/>
      <c r="J177" s="60"/>
      <c r="K177" s="60"/>
      <c r="L177" s="60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25">
      <c r="A178" s="1"/>
      <c r="B178" s="60"/>
      <c r="C178" s="60"/>
      <c r="D178" s="60"/>
      <c r="E178" s="76"/>
      <c r="F178" s="76"/>
      <c r="G178" s="76"/>
      <c r="H178" s="60"/>
      <c r="I178" s="60"/>
      <c r="J178" s="60"/>
      <c r="K178" s="60"/>
      <c r="L178" s="60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25">
      <c r="A179" s="1"/>
      <c r="B179" s="60"/>
      <c r="C179" s="60"/>
      <c r="D179" s="60"/>
      <c r="E179" s="76"/>
      <c r="F179" s="76"/>
      <c r="G179" s="76"/>
      <c r="H179" s="60"/>
      <c r="I179" s="60"/>
      <c r="J179" s="60"/>
      <c r="K179" s="60"/>
      <c r="L179" s="6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25">
      <c r="A180" s="1"/>
      <c r="B180" s="60"/>
      <c r="C180" s="60"/>
      <c r="D180" s="60"/>
      <c r="E180" s="76"/>
      <c r="F180" s="76"/>
      <c r="G180" s="76"/>
      <c r="H180" s="60"/>
      <c r="I180" s="60"/>
      <c r="J180" s="60"/>
      <c r="K180" s="60"/>
      <c r="L180" s="60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25">
      <c r="A181" s="1"/>
      <c r="B181" s="60"/>
      <c r="C181" s="60"/>
      <c r="D181" s="60"/>
      <c r="E181" s="76"/>
      <c r="F181" s="76"/>
      <c r="G181" s="76"/>
      <c r="H181" s="60"/>
      <c r="I181" s="60"/>
      <c r="J181" s="60"/>
      <c r="K181" s="60"/>
      <c r="L181" s="6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25">
      <c r="A182" s="1"/>
      <c r="B182" s="60"/>
      <c r="C182" s="60"/>
      <c r="D182" s="60"/>
      <c r="E182" s="76"/>
      <c r="F182" s="76"/>
      <c r="G182" s="76"/>
      <c r="H182" s="60"/>
      <c r="I182" s="60"/>
      <c r="J182" s="60"/>
      <c r="K182" s="60"/>
      <c r="L182" s="60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25">
      <c r="A183" s="1"/>
      <c r="B183" s="60"/>
      <c r="C183" s="60"/>
      <c r="D183" s="60"/>
      <c r="E183" s="76"/>
      <c r="F183" s="76"/>
      <c r="G183" s="76"/>
      <c r="H183" s="60"/>
      <c r="I183" s="60"/>
      <c r="J183" s="60"/>
      <c r="K183" s="60"/>
      <c r="L183" s="6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25">
      <c r="A184" s="1"/>
      <c r="B184" s="60"/>
      <c r="C184" s="60"/>
      <c r="D184" s="60"/>
      <c r="E184" s="76"/>
      <c r="F184" s="76"/>
      <c r="G184" s="76"/>
      <c r="H184" s="60"/>
      <c r="I184" s="60"/>
      <c r="J184" s="60"/>
      <c r="K184" s="60"/>
      <c r="L184" s="6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25">
      <c r="A185" s="1"/>
      <c r="B185" s="60"/>
      <c r="C185" s="60"/>
      <c r="D185" s="60"/>
      <c r="E185" s="76"/>
      <c r="F185" s="76"/>
      <c r="G185" s="76"/>
      <c r="H185" s="60"/>
      <c r="I185" s="60"/>
      <c r="J185" s="60"/>
      <c r="K185" s="60"/>
      <c r="L185" s="6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25">
      <c r="A186" s="1"/>
      <c r="B186" s="60"/>
      <c r="C186" s="60"/>
      <c r="D186" s="60"/>
      <c r="E186" s="76"/>
      <c r="F186" s="76"/>
      <c r="G186" s="76"/>
      <c r="H186" s="60"/>
      <c r="I186" s="60"/>
      <c r="J186" s="60"/>
      <c r="K186" s="60"/>
      <c r="L186" s="6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25">
      <c r="A187" s="1"/>
      <c r="B187" s="60"/>
      <c r="C187" s="60"/>
      <c r="D187" s="60"/>
      <c r="E187" s="76"/>
      <c r="F187" s="76"/>
      <c r="G187" s="76"/>
      <c r="H187" s="60"/>
      <c r="I187" s="60"/>
      <c r="J187" s="60"/>
      <c r="K187" s="60"/>
      <c r="L187" s="60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25">
      <c r="A188" s="1"/>
      <c r="B188" s="60"/>
      <c r="C188" s="60"/>
      <c r="D188" s="60"/>
      <c r="E188" s="76"/>
      <c r="F188" s="76"/>
      <c r="G188" s="76"/>
      <c r="H188" s="60"/>
      <c r="I188" s="60"/>
      <c r="J188" s="60"/>
      <c r="K188" s="60"/>
      <c r="L188" s="6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25">
      <c r="A189" s="1"/>
      <c r="B189" s="60"/>
      <c r="C189" s="60"/>
      <c r="D189" s="60"/>
      <c r="E189" s="76"/>
      <c r="F189" s="76"/>
      <c r="G189" s="76"/>
      <c r="H189" s="60"/>
      <c r="I189" s="60"/>
      <c r="J189" s="60"/>
      <c r="K189" s="60"/>
      <c r="L189" s="6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25">
      <c r="A190" s="1"/>
      <c r="B190" s="60"/>
      <c r="C190" s="60"/>
      <c r="D190" s="60"/>
      <c r="E190" s="76"/>
      <c r="F190" s="76"/>
      <c r="G190" s="76"/>
      <c r="H190" s="60"/>
      <c r="I190" s="60"/>
      <c r="J190" s="60"/>
      <c r="K190" s="60"/>
      <c r="L190" s="6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25">
      <c r="A191" s="1"/>
      <c r="B191" s="60"/>
      <c r="C191" s="60"/>
      <c r="D191" s="60"/>
      <c r="E191" s="76"/>
      <c r="F191" s="76"/>
      <c r="G191" s="76"/>
      <c r="H191" s="60"/>
      <c r="I191" s="60"/>
      <c r="J191" s="60"/>
      <c r="K191" s="60"/>
      <c r="L191" s="60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25">
      <c r="A192" s="1"/>
      <c r="B192" s="60"/>
      <c r="C192" s="60"/>
      <c r="D192" s="60"/>
      <c r="E192" s="76"/>
      <c r="F192" s="76"/>
      <c r="G192" s="76"/>
      <c r="H192" s="60"/>
      <c r="I192" s="60"/>
      <c r="J192" s="60"/>
      <c r="K192" s="60"/>
      <c r="L192" s="6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25">
      <c r="A193" s="1"/>
      <c r="B193" s="60"/>
      <c r="C193" s="60"/>
      <c r="D193" s="60"/>
      <c r="E193" s="76"/>
      <c r="F193" s="76"/>
      <c r="G193" s="76"/>
      <c r="H193" s="60"/>
      <c r="I193" s="60"/>
      <c r="J193" s="60"/>
      <c r="K193" s="60"/>
      <c r="L193" s="6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25">
      <c r="A194" s="1"/>
      <c r="B194" s="60"/>
      <c r="C194" s="60"/>
      <c r="D194" s="60"/>
      <c r="E194" s="76"/>
      <c r="F194" s="76"/>
      <c r="G194" s="76"/>
      <c r="H194" s="60"/>
      <c r="I194" s="60"/>
      <c r="J194" s="60"/>
      <c r="K194" s="60"/>
      <c r="L194" s="6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25">
      <c r="A195" s="1"/>
      <c r="B195" s="60"/>
      <c r="C195" s="60"/>
      <c r="D195" s="60"/>
      <c r="E195" s="76"/>
      <c r="F195" s="76"/>
      <c r="G195" s="76"/>
      <c r="H195" s="60"/>
      <c r="I195" s="60"/>
      <c r="J195" s="60"/>
      <c r="K195" s="60"/>
      <c r="L195" s="6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25">
      <c r="A196" s="1"/>
      <c r="B196" s="60"/>
      <c r="C196" s="60"/>
      <c r="D196" s="60"/>
      <c r="E196" s="76"/>
      <c r="F196" s="76"/>
      <c r="G196" s="76"/>
      <c r="H196" s="60"/>
      <c r="I196" s="60"/>
      <c r="J196" s="60"/>
      <c r="K196" s="60"/>
      <c r="L196" s="6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25">
      <c r="A197" s="1"/>
      <c r="B197" s="60"/>
      <c r="C197" s="60"/>
      <c r="D197" s="60"/>
      <c r="E197" s="76"/>
      <c r="F197" s="76"/>
      <c r="G197" s="76"/>
      <c r="H197" s="60"/>
      <c r="I197" s="60"/>
      <c r="J197" s="60"/>
      <c r="K197" s="60"/>
      <c r="L197" s="60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25">
      <c r="A198" s="1"/>
      <c r="B198" s="60"/>
      <c r="C198" s="60"/>
      <c r="D198" s="60"/>
      <c r="E198" s="76"/>
      <c r="F198" s="76"/>
      <c r="G198" s="76"/>
      <c r="H198" s="60"/>
      <c r="I198" s="60"/>
      <c r="J198" s="60"/>
      <c r="K198" s="60"/>
      <c r="L198" s="60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25">
      <c r="A199" s="1"/>
      <c r="B199" s="60"/>
      <c r="C199" s="60"/>
      <c r="D199" s="60"/>
      <c r="E199" s="76"/>
      <c r="F199" s="76"/>
      <c r="G199" s="76"/>
      <c r="H199" s="60"/>
      <c r="I199" s="60"/>
      <c r="J199" s="60"/>
      <c r="K199" s="60"/>
      <c r="L199" s="60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25">
      <c r="A200" s="1"/>
      <c r="B200" s="60"/>
      <c r="C200" s="60"/>
      <c r="D200" s="60"/>
      <c r="E200" s="76"/>
      <c r="F200" s="76"/>
      <c r="G200" s="76"/>
      <c r="H200" s="60"/>
      <c r="I200" s="60"/>
      <c r="J200" s="60"/>
      <c r="K200" s="60"/>
      <c r="L200" s="60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25">
      <c r="A201" s="1"/>
      <c r="B201" s="60"/>
      <c r="C201" s="60"/>
      <c r="D201" s="60"/>
      <c r="E201" s="76"/>
      <c r="F201" s="76"/>
      <c r="G201" s="76"/>
      <c r="H201" s="60"/>
      <c r="I201" s="60"/>
      <c r="J201" s="60"/>
      <c r="K201" s="60"/>
      <c r="L201" s="60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 x14ac:dyDescent="0.25">
      <c r="A202" s="1"/>
      <c r="B202" s="60"/>
      <c r="C202" s="60"/>
      <c r="D202" s="60"/>
      <c r="E202" s="76"/>
      <c r="F202" s="76"/>
      <c r="G202" s="76"/>
      <c r="H202" s="60"/>
      <c r="I202" s="60"/>
      <c r="J202" s="60"/>
      <c r="K202" s="60"/>
      <c r="L202" s="6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 x14ac:dyDescent="0.25">
      <c r="A203" s="1"/>
      <c r="B203" s="60"/>
      <c r="C203" s="60"/>
      <c r="D203" s="60"/>
      <c r="E203" s="76"/>
      <c r="F203" s="76"/>
      <c r="G203" s="76"/>
      <c r="H203" s="60"/>
      <c r="I203" s="60"/>
      <c r="J203" s="60"/>
      <c r="K203" s="60"/>
      <c r="L203" s="6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 x14ac:dyDescent="0.25">
      <c r="A204" s="1"/>
      <c r="B204" s="60"/>
      <c r="C204" s="60"/>
      <c r="D204" s="60"/>
      <c r="E204" s="76"/>
      <c r="F204" s="76"/>
      <c r="G204" s="76"/>
      <c r="H204" s="60"/>
      <c r="I204" s="60"/>
      <c r="J204" s="60"/>
      <c r="K204" s="60"/>
      <c r="L204" s="60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4.25" customHeight="1" x14ac:dyDescent="0.2"/>
    <row r="319" spans="1:32" ht="14.25" customHeight="1" x14ac:dyDescent="0.2"/>
    <row r="320" spans="1:32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  <row r="1007" ht="14.25" customHeight="1" x14ac:dyDescent="0.2"/>
    <row r="1008" ht="14.25" customHeight="1" x14ac:dyDescent="0.2"/>
    <row r="1009" ht="14.25" customHeight="1" x14ac:dyDescent="0.2"/>
    <row r="1010" ht="14.25" customHeight="1" x14ac:dyDescent="0.2"/>
    <row r="1011" ht="14.25" customHeight="1" x14ac:dyDescent="0.2"/>
    <row r="1012" ht="14.25" customHeight="1" x14ac:dyDescent="0.2"/>
    <row r="1013" ht="14.25" customHeight="1" x14ac:dyDescent="0.2"/>
    <row r="1014" ht="14.25" customHeight="1" x14ac:dyDescent="0.2"/>
    <row r="1015" ht="14.25" customHeight="1" x14ac:dyDescent="0.2"/>
    <row r="1016" ht="14.25" customHeight="1" x14ac:dyDescent="0.2"/>
    <row r="1017" ht="14.25" customHeight="1" x14ac:dyDescent="0.2"/>
    <row r="1018" ht="14.25" customHeight="1" x14ac:dyDescent="0.2"/>
    <row r="1019" ht="14.25" customHeight="1" x14ac:dyDescent="0.2"/>
    <row r="1020" ht="14.25" customHeight="1" x14ac:dyDescent="0.2"/>
    <row r="1021" ht="14.25" customHeight="1" x14ac:dyDescent="0.2"/>
    <row r="1022" ht="14.25" customHeight="1" x14ac:dyDescent="0.2"/>
    <row r="1023" ht="14.25" customHeight="1" x14ac:dyDescent="0.2"/>
    <row r="1024" ht="14.25" customHeight="1" x14ac:dyDescent="0.2"/>
    <row r="1025" ht="14.25" customHeight="1" x14ac:dyDescent="0.2"/>
    <row r="1026" ht="14.25" customHeight="1" x14ac:dyDescent="0.2"/>
    <row r="1027" ht="14.25" customHeight="1" x14ac:dyDescent="0.2"/>
    <row r="1028" ht="14.25" customHeight="1" x14ac:dyDescent="0.2"/>
    <row r="1029" ht="14.25" customHeight="1" x14ac:dyDescent="0.2"/>
    <row r="1030" ht="14.25" customHeight="1" x14ac:dyDescent="0.2"/>
    <row r="1031" ht="14.25" customHeight="1" x14ac:dyDescent="0.2"/>
    <row r="1032" ht="14.25" customHeight="1" x14ac:dyDescent="0.2"/>
    <row r="1033" ht="14.25" customHeight="1" x14ac:dyDescent="0.2"/>
    <row r="1034" ht="14.25" customHeight="1" x14ac:dyDescent="0.2"/>
    <row r="1035" ht="14.25" customHeight="1" x14ac:dyDescent="0.2"/>
    <row r="1036" ht="14.25" customHeight="1" x14ac:dyDescent="0.2"/>
    <row r="1037" ht="14.25" customHeight="1" x14ac:dyDescent="0.2"/>
    <row r="1038" ht="14.25" customHeight="1" x14ac:dyDescent="0.2"/>
    <row r="1039" ht="14.25" customHeight="1" x14ac:dyDescent="0.2"/>
  </sheetData>
  <mergeCells count="35">
    <mergeCell ref="B7:L7"/>
    <mergeCell ref="B49:L49"/>
    <mergeCell ref="K3:K5"/>
    <mergeCell ref="L3:L5"/>
    <mergeCell ref="B6:L6"/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A67:L67"/>
    <mergeCell ref="B69:B71"/>
    <mergeCell ref="C69:C71"/>
    <mergeCell ref="D69:D71"/>
    <mergeCell ref="E69:E71"/>
    <mergeCell ref="F69:F71"/>
    <mergeCell ref="G69:G71"/>
    <mergeCell ref="H69:H71"/>
    <mergeCell ref="I69:I71"/>
    <mergeCell ref="J69:J71"/>
    <mergeCell ref="K69:K71"/>
    <mergeCell ref="L69:L71"/>
    <mergeCell ref="B101:L101"/>
    <mergeCell ref="B105:L105"/>
    <mergeCell ref="B106:L106"/>
    <mergeCell ref="B72:L72"/>
    <mergeCell ref="B82:L82"/>
    <mergeCell ref="B89:L89"/>
    <mergeCell ref="B93:L93"/>
    <mergeCell ref="B97:L97"/>
  </mergeCells>
  <printOptions horizontalCentered="1"/>
  <pageMargins left="0.31496062992125984" right="0.31496062992125984" top="0.39370078740157483" bottom="0.39370078740157483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16</vt:i4>
      </vt:variant>
      <vt:variant>
        <vt:lpstr>Intervalos Nomeados</vt:lpstr>
      </vt:variant>
      <vt:variant>
        <vt:i4>4</vt:i4>
      </vt:variant>
    </vt:vector>
  </HeadingPairs>
  <TitlesOfParts>
    <vt:vector size="20" baseType="lpstr">
      <vt:lpstr>MAIO 2019</vt:lpstr>
      <vt:lpstr>JUNHO 2019</vt:lpstr>
      <vt:lpstr>AGOSTO 2019</vt:lpstr>
      <vt:lpstr>SETEMBRO 2019</vt:lpstr>
      <vt:lpstr>OUTUBRO 2019</vt:lpstr>
      <vt:lpstr>NOVEMBRO 2019</vt:lpstr>
      <vt:lpstr>JANEIRO 2022</vt:lpstr>
      <vt:lpstr>FEVEREIRO 2022</vt:lpstr>
      <vt:lpstr>MARÇO 2022</vt:lpstr>
      <vt:lpstr>ABRIL 2022</vt:lpstr>
      <vt:lpstr>MAIO 2022</vt:lpstr>
      <vt:lpstr>JUNHO 2022</vt:lpstr>
      <vt:lpstr>JULHO 2022</vt:lpstr>
      <vt:lpstr>AGOSTO 2022</vt:lpstr>
      <vt:lpstr>SETEMBRO 2022 </vt:lpstr>
      <vt:lpstr>JANEIRO 2023</vt:lpstr>
      <vt:lpstr>'AGOSTO 2022'!Area_de_impressao</vt:lpstr>
      <vt:lpstr>'JANEIRO 2023'!Area_de_impressao</vt:lpstr>
      <vt:lpstr>'JULHO 2022'!Area_de_impressao</vt:lpstr>
      <vt:lpstr>'SETEMBRO 2022 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talita</dc:creator>
  <cp:keywords/>
  <dc:description/>
  <cp:lastModifiedBy>HP</cp:lastModifiedBy>
  <cp:revision/>
  <dcterms:created xsi:type="dcterms:W3CDTF">2015-04-14T13:15:31Z</dcterms:created>
  <dcterms:modified xsi:type="dcterms:W3CDTF">2023-02-14T14:32:59Z</dcterms:modified>
  <cp:category/>
  <cp:contentStatus/>
</cp:coreProperties>
</file>