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2-2023\"/>
    </mc:Choice>
  </mc:AlternateContent>
  <xr:revisionPtr revIDLastSave="0" documentId="13_ncr:1_{C42F4B77-13AB-4C00-BDE5-C926CFCD6AAD}" xr6:coauthVersionLast="47" xr6:coauthVersionMax="47" xr10:uidLastSave="{00000000-0000-0000-0000-000000000000}"/>
  <bookViews>
    <workbookView xWindow="-120" yWindow="-120" windowWidth="29040" windowHeight="15840" tabRatio="837" firstSheet="15" activeTab="15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state="hidden" r:id="rId7"/>
    <sheet name="FEVEREIRO 2022" sheetId="20" state="hidden" r:id="rId8"/>
    <sheet name="MARÇO 2022" sheetId="21" state="hidden" r:id="rId9"/>
    <sheet name="ABRIL 2022" sheetId="22" state="hidden" r:id="rId10"/>
    <sheet name="MAIO 2022" sheetId="23" state="hidden" r:id="rId11"/>
    <sheet name="JUNHO 2022" sheetId="24" state="hidden" r:id="rId12"/>
    <sheet name="JULHO 2022" sheetId="25" state="hidden" r:id="rId13"/>
    <sheet name="AGOSTO 2022" sheetId="26" state="hidden" r:id="rId14"/>
    <sheet name="SETEMBRO 2022 " sheetId="27" state="hidden" r:id="rId15"/>
    <sheet name="02.2023" sheetId="28" r:id="rId16"/>
  </sheets>
  <definedNames>
    <definedName name="_xlnm.Print_Area" localSheetId="15">'02.2023'!$A$1:$N$109</definedName>
    <definedName name="_xlnm.Print_Area" localSheetId="13">'AGOSTO 2022'!$A$1:$M$102</definedName>
    <definedName name="_xlnm.Print_Area" localSheetId="12">'JULHO 2022'!$A$1:$L$111</definedName>
    <definedName name="_xlnm.Print_Area" localSheetId="14">'SETEMBRO 2022 '!$A$1:$M$108</definedName>
  </definedNames>
  <calcPr calcId="191028"/>
</workbook>
</file>

<file path=xl/calcChain.xml><?xml version="1.0" encoding="utf-8"?>
<calcChain xmlns="http://schemas.openxmlformats.org/spreadsheetml/2006/main">
  <c r="J45" i="28" l="1"/>
  <c r="J36" i="28"/>
  <c r="L108" i="28"/>
  <c r="L104" i="28"/>
  <c r="L100" i="28"/>
  <c r="L86" i="28"/>
  <c r="L81" i="28"/>
  <c r="L78" i="28"/>
  <c r="L73" i="28"/>
  <c r="L70" i="28"/>
  <c r="L67" i="28"/>
  <c r="L64" i="28"/>
  <c r="L61" i="28"/>
  <c r="L58" i="28"/>
  <c r="L45" i="28"/>
  <c r="L39" i="28"/>
  <c r="L36" i="28"/>
  <c r="L33" i="28"/>
  <c r="L30" i="28"/>
  <c r="L27" i="28"/>
  <c r="L24" i="28"/>
  <c r="L21" i="28"/>
  <c r="L18" i="28"/>
  <c r="L15" i="28"/>
  <c r="L12" i="28"/>
  <c r="L9" i="28"/>
  <c r="M18" i="28"/>
  <c r="L42" i="28"/>
  <c r="M108" i="28"/>
  <c r="I108" i="28"/>
  <c r="B30" i="28"/>
  <c r="N108" i="28" l="1"/>
  <c r="I12" i="28"/>
  <c r="I15" i="28"/>
  <c r="M36" i="28"/>
  <c r="M33" i="28"/>
  <c r="M24" i="28"/>
  <c r="M21" i="28"/>
  <c r="M12" i="28"/>
  <c r="M30" i="28"/>
  <c r="M9" i="28"/>
  <c r="I9" i="28"/>
  <c r="M15" i="28" l="1"/>
  <c r="M39" i="28"/>
  <c r="M27" i="28"/>
  <c r="M104" i="28"/>
  <c r="M73" i="28"/>
  <c r="M67" i="28"/>
  <c r="M64" i="28"/>
  <c r="M45" i="28"/>
  <c r="M42" i="28"/>
  <c r="M100" i="28"/>
  <c r="M86" i="28"/>
  <c r="M81" i="28"/>
  <c r="M70" i="28"/>
  <c r="M61" i="28"/>
  <c r="M58" i="28"/>
  <c r="I104" i="28"/>
  <c r="I100" i="28"/>
  <c r="I86" i="28"/>
  <c r="I81" i="28"/>
  <c r="I78" i="28"/>
  <c r="I73" i="28"/>
  <c r="I70" i="28"/>
  <c r="I67" i="28"/>
  <c r="I64" i="28"/>
  <c r="I61" i="28"/>
  <c r="I58" i="28"/>
  <c r="I45" i="28"/>
  <c r="I42" i="28"/>
  <c r="I39" i="28"/>
  <c r="I36" i="28"/>
  <c r="I33" i="28"/>
  <c r="I30" i="28"/>
  <c r="I27" i="28"/>
  <c r="I24" i="28"/>
  <c r="I21" i="28"/>
  <c r="I18" i="28"/>
  <c r="K107" i="27"/>
  <c r="I107" i="27"/>
  <c r="D107" i="27"/>
  <c r="C107" i="27"/>
  <c r="H67" i="27"/>
  <c r="C67" i="27"/>
  <c r="H39" i="27"/>
  <c r="C39" i="27"/>
  <c r="H30" i="27"/>
  <c r="C30" i="27"/>
  <c r="J48" i="27"/>
  <c r="J97" i="27"/>
  <c r="J94" i="27"/>
  <c r="J84" i="27"/>
  <c r="J80" i="27"/>
  <c r="J77" i="27"/>
  <c r="J73" i="27"/>
  <c r="J70" i="27"/>
  <c r="J67" i="27"/>
  <c r="J64" i="27"/>
  <c r="J61" i="27"/>
  <c r="J58" i="27"/>
  <c r="J45" i="27"/>
  <c r="J42" i="27"/>
  <c r="J39" i="27"/>
  <c r="J36" i="27"/>
  <c r="J33" i="27"/>
  <c r="B33" i="27"/>
  <c r="J27" i="27"/>
  <c r="J21" i="27"/>
  <c r="J18" i="27"/>
  <c r="J15" i="27"/>
  <c r="J12" i="27"/>
  <c r="J9" i="27"/>
  <c r="L107" i="27"/>
  <c r="H107" i="27"/>
  <c r="M107" i="27" s="1"/>
  <c r="K97" i="27"/>
  <c r="G97" i="27"/>
  <c r="L97" i="27" s="1"/>
  <c r="K94" i="27"/>
  <c r="G94" i="27"/>
  <c r="L94" i="27" s="1"/>
  <c r="K84" i="27"/>
  <c r="G84" i="27"/>
  <c r="L84" i="27" s="1"/>
  <c r="K80" i="27"/>
  <c r="G80" i="27"/>
  <c r="L80" i="27" s="1"/>
  <c r="K77" i="27"/>
  <c r="G77" i="27"/>
  <c r="L77" i="27" s="1"/>
  <c r="K48" i="27"/>
  <c r="G48" i="27"/>
  <c r="L48" i="27" s="1"/>
  <c r="K73" i="27"/>
  <c r="G73" i="27"/>
  <c r="L73" i="27" s="1"/>
  <c r="K70" i="27"/>
  <c r="G70" i="27"/>
  <c r="L70" i="27" s="1"/>
  <c r="K67" i="27"/>
  <c r="G67" i="27"/>
  <c r="L67" i="27" s="1"/>
  <c r="K64" i="27"/>
  <c r="G64" i="27"/>
  <c r="L64" i="27" s="1"/>
  <c r="K61" i="27"/>
  <c r="G61" i="27"/>
  <c r="L61" i="27" s="1"/>
  <c r="K58" i="27"/>
  <c r="G58" i="27"/>
  <c r="L58" i="27" s="1"/>
  <c r="K45" i="27"/>
  <c r="G45" i="27"/>
  <c r="L45" i="27" s="1"/>
  <c r="K42" i="27"/>
  <c r="G42" i="27"/>
  <c r="L42" i="27" s="1"/>
  <c r="K39" i="27"/>
  <c r="G39" i="27"/>
  <c r="L39" i="27" s="1"/>
  <c r="K36" i="27"/>
  <c r="G36" i="27"/>
  <c r="L36" i="27" s="1"/>
  <c r="K33" i="27"/>
  <c r="G33" i="27"/>
  <c r="L33" i="27" s="1"/>
  <c r="J30" i="27"/>
  <c r="K30" i="27" s="1"/>
  <c r="G30" i="27"/>
  <c r="L30" i="27" s="1"/>
  <c r="K27" i="27"/>
  <c r="G27" i="27"/>
  <c r="L27" i="27" s="1"/>
  <c r="J24" i="27"/>
  <c r="K24" i="27" s="1"/>
  <c r="G24" i="27"/>
  <c r="L24" i="27" s="1"/>
  <c r="K21" i="27"/>
  <c r="G21" i="27"/>
  <c r="L21" i="27" s="1"/>
  <c r="K18" i="27"/>
  <c r="G18" i="27"/>
  <c r="L18" i="27" s="1"/>
  <c r="K15" i="27"/>
  <c r="G15" i="27"/>
  <c r="L15" i="27" s="1"/>
  <c r="K12" i="27"/>
  <c r="G12" i="27"/>
  <c r="L12" i="27" s="1"/>
  <c r="K9" i="27"/>
  <c r="G9" i="27"/>
  <c r="L9" i="27" s="1"/>
  <c r="H58" i="26"/>
  <c r="C58" i="26"/>
  <c r="H21" i="26"/>
  <c r="H9" i="26"/>
  <c r="J33" i="26"/>
  <c r="J101" i="26"/>
  <c r="J97" i="26"/>
  <c r="J94" i="26"/>
  <c r="J84" i="26"/>
  <c r="J80" i="26"/>
  <c r="J77" i="26"/>
  <c r="J70" i="26"/>
  <c r="J67" i="26"/>
  <c r="J64" i="26"/>
  <c r="J61" i="26"/>
  <c r="J58" i="26"/>
  <c r="J55" i="26"/>
  <c r="J73" i="26"/>
  <c r="J45" i="26"/>
  <c r="J42" i="26"/>
  <c r="J39" i="26"/>
  <c r="J36" i="26"/>
  <c r="J30" i="26"/>
  <c r="J27" i="26"/>
  <c r="J24" i="26"/>
  <c r="J21" i="26"/>
  <c r="J18" i="26"/>
  <c r="J15" i="26"/>
  <c r="J12" i="26"/>
  <c r="J9" i="26"/>
  <c r="M78" i="28" l="1"/>
  <c r="N78" i="28" s="1"/>
  <c r="N21" i="28"/>
  <c r="N86" i="28"/>
  <c r="N104" i="28"/>
  <c r="N12" i="28"/>
  <c r="N18" i="28"/>
  <c r="N81" i="28"/>
  <c r="N61" i="28"/>
  <c r="N70" i="28"/>
  <c r="N33" i="28"/>
  <c r="N24" i="28"/>
  <c r="N42" i="28"/>
  <c r="N73" i="28"/>
  <c r="N100" i="28"/>
  <c r="N15" i="28"/>
  <c r="N58" i="28"/>
  <c r="N64" i="28"/>
  <c r="N45" i="28"/>
  <c r="N39" i="28"/>
  <c r="N27" i="28"/>
  <c r="N30" i="28"/>
  <c r="N36" i="28"/>
  <c r="N67" i="28"/>
  <c r="K101" i="26"/>
  <c r="G101" i="26"/>
  <c r="K97" i="26"/>
  <c r="G97" i="26"/>
  <c r="K94" i="26"/>
  <c r="G94" i="26"/>
  <c r="K84" i="26"/>
  <c r="G84" i="26"/>
  <c r="K80" i="26"/>
  <c r="G80" i="26"/>
  <c r="K77" i="26"/>
  <c r="G77" i="26"/>
  <c r="K73" i="26"/>
  <c r="G73" i="26"/>
  <c r="K70" i="26"/>
  <c r="G70" i="26"/>
  <c r="K67" i="26"/>
  <c r="G67" i="26"/>
  <c r="K64" i="26"/>
  <c r="G64" i="26"/>
  <c r="K61" i="26"/>
  <c r="G61" i="26"/>
  <c r="K58" i="26"/>
  <c r="G58" i="26"/>
  <c r="K55" i="26"/>
  <c r="G55" i="26"/>
  <c r="K45" i="26"/>
  <c r="G45" i="26"/>
  <c r="L45" i="26" s="1"/>
  <c r="K42" i="26"/>
  <c r="G42" i="26"/>
  <c r="K39" i="26"/>
  <c r="G39" i="26"/>
  <c r="K36" i="26"/>
  <c r="G36" i="26"/>
  <c r="K33" i="26"/>
  <c r="G33" i="26"/>
  <c r="K30" i="26"/>
  <c r="G30" i="26"/>
  <c r="K27" i="26"/>
  <c r="G27" i="26"/>
  <c r="K24" i="26"/>
  <c r="G24" i="26"/>
  <c r="K21" i="26"/>
  <c r="G21" i="26"/>
  <c r="K18" i="26"/>
  <c r="G18" i="26"/>
  <c r="K15" i="26"/>
  <c r="G15" i="26"/>
  <c r="K12" i="26"/>
  <c r="G12" i="26"/>
  <c r="K9" i="26"/>
  <c r="G9" i="26"/>
  <c r="J111" i="25"/>
  <c r="H111" i="25"/>
  <c r="K111" i="25" s="1"/>
  <c r="C111" i="25"/>
  <c r="B111" i="25"/>
  <c r="G111" i="25" s="1"/>
  <c r="K99" i="25"/>
  <c r="G99" i="25"/>
  <c r="L99" i="25" s="1"/>
  <c r="J95" i="25"/>
  <c r="K95" i="25" s="1"/>
  <c r="J92" i="25"/>
  <c r="K92" i="25" s="1"/>
  <c r="J83" i="25"/>
  <c r="J79" i="25"/>
  <c r="J76" i="25"/>
  <c r="K76" i="25" s="1"/>
  <c r="J69" i="25"/>
  <c r="K69" i="25" s="1"/>
  <c r="J72" i="25"/>
  <c r="K72" i="25" s="1"/>
  <c r="J66" i="25"/>
  <c r="J63" i="25"/>
  <c r="K63" i="25" s="1"/>
  <c r="J60" i="25"/>
  <c r="K60" i="25" s="1"/>
  <c r="J57" i="25"/>
  <c r="J54" i="25"/>
  <c r="J45" i="25"/>
  <c r="K45" i="25" s="1"/>
  <c r="J42" i="25"/>
  <c r="K42" i="25" s="1"/>
  <c r="J39" i="25"/>
  <c r="K39" i="25" s="1"/>
  <c r="J36" i="25"/>
  <c r="J33" i="25"/>
  <c r="K33" i="25" s="1"/>
  <c r="J30" i="25"/>
  <c r="K30" i="25" s="1"/>
  <c r="J27" i="25"/>
  <c r="J24" i="25"/>
  <c r="J21" i="25"/>
  <c r="K21" i="25" s="1"/>
  <c r="J18" i="25"/>
  <c r="K18" i="25" s="1"/>
  <c r="J15" i="25"/>
  <c r="K15" i="25" s="1"/>
  <c r="J12" i="25"/>
  <c r="J9" i="25"/>
  <c r="K9" i="25" s="1"/>
  <c r="G95" i="25"/>
  <c r="G92" i="25"/>
  <c r="K83" i="25"/>
  <c r="G83" i="25"/>
  <c r="K79" i="25"/>
  <c r="G79" i="25"/>
  <c r="G76" i="25"/>
  <c r="G72" i="25"/>
  <c r="G69" i="25"/>
  <c r="K66" i="25"/>
  <c r="G66" i="25"/>
  <c r="G63" i="25"/>
  <c r="G60" i="25"/>
  <c r="K57" i="25"/>
  <c r="G57" i="25"/>
  <c r="K54" i="25"/>
  <c r="G54" i="25"/>
  <c r="L54" i="25" s="1"/>
  <c r="G45" i="25"/>
  <c r="G42" i="25"/>
  <c r="G39" i="25"/>
  <c r="K36" i="25"/>
  <c r="G36" i="25"/>
  <c r="G33" i="25"/>
  <c r="G30" i="25"/>
  <c r="K27" i="25"/>
  <c r="G27" i="25"/>
  <c r="K24" i="25"/>
  <c r="G24" i="25"/>
  <c r="G21" i="25"/>
  <c r="G18" i="25"/>
  <c r="G15" i="25"/>
  <c r="K12" i="25"/>
  <c r="G12" i="25"/>
  <c r="G9" i="25"/>
  <c r="J111" i="24"/>
  <c r="H111" i="24"/>
  <c r="K111" i="24" s="1"/>
  <c r="C111" i="24"/>
  <c r="B111" i="24"/>
  <c r="H87" i="24"/>
  <c r="C87" i="24"/>
  <c r="H83" i="24"/>
  <c r="H76" i="24"/>
  <c r="H54" i="24"/>
  <c r="C54" i="24"/>
  <c r="G54" i="24" s="1"/>
  <c r="H39" i="24"/>
  <c r="H27" i="24"/>
  <c r="I12" i="24"/>
  <c r="H12" i="24"/>
  <c r="C12" i="24"/>
  <c r="G12" i="24" s="1"/>
  <c r="J9" i="24"/>
  <c r="K94" i="24"/>
  <c r="G94" i="24"/>
  <c r="L94" i="24" s="1"/>
  <c r="J98" i="24"/>
  <c r="J91" i="24"/>
  <c r="J87" i="24"/>
  <c r="J83" i="24"/>
  <c r="G83" i="24"/>
  <c r="J76" i="24"/>
  <c r="J73" i="24"/>
  <c r="J70" i="24"/>
  <c r="J67" i="24"/>
  <c r="K67" i="24" s="1"/>
  <c r="J54" i="24"/>
  <c r="J51" i="24"/>
  <c r="J48" i="24"/>
  <c r="J44" i="24"/>
  <c r="K44" i="24" s="1"/>
  <c r="J42" i="24"/>
  <c r="J39" i="24"/>
  <c r="J36" i="24"/>
  <c r="J33" i="24"/>
  <c r="K33" i="24" s="1"/>
  <c r="J30" i="24"/>
  <c r="J27" i="24"/>
  <c r="J24" i="24"/>
  <c r="J21" i="24"/>
  <c r="K21" i="24" s="1"/>
  <c r="J18" i="24"/>
  <c r="J15" i="24"/>
  <c r="J12" i="24"/>
  <c r="K98" i="24"/>
  <c r="G98" i="24"/>
  <c r="K91" i="24"/>
  <c r="G91" i="24"/>
  <c r="K87" i="24"/>
  <c r="G87" i="24"/>
  <c r="L87" i="24" s="1"/>
  <c r="K83" i="24"/>
  <c r="J80" i="24"/>
  <c r="K80" i="24" s="1"/>
  <c r="G80" i="24"/>
  <c r="L80" i="24" s="1"/>
  <c r="K76" i="24"/>
  <c r="G76" i="24"/>
  <c r="K73" i="24"/>
  <c r="G73" i="24"/>
  <c r="L73" i="24" s="1"/>
  <c r="K70" i="24"/>
  <c r="G70" i="24"/>
  <c r="G67" i="24"/>
  <c r="K54" i="24"/>
  <c r="K51" i="24"/>
  <c r="G51" i="24"/>
  <c r="L51" i="24" s="1"/>
  <c r="K48" i="24"/>
  <c r="G48" i="24"/>
  <c r="G44" i="24"/>
  <c r="K42" i="24"/>
  <c r="G42" i="24"/>
  <c r="G39" i="24"/>
  <c r="K36" i="24"/>
  <c r="G36" i="24"/>
  <c r="G33" i="24"/>
  <c r="K30" i="24"/>
  <c r="G30" i="24"/>
  <c r="K27" i="24"/>
  <c r="G27" i="24"/>
  <c r="L27" i="24" s="1"/>
  <c r="K24" i="24"/>
  <c r="G24" i="24"/>
  <c r="G21" i="24"/>
  <c r="K18" i="24"/>
  <c r="G18" i="24"/>
  <c r="K15" i="24"/>
  <c r="G15" i="24"/>
  <c r="L15" i="24" s="1"/>
  <c r="K12" i="24"/>
  <c r="K9" i="24"/>
  <c r="G9" i="24"/>
  <c r="L9" i="24" s="1"/>
  <c r="J81" i="23"/>
  <c r="H81" i="23"/>
  <c r="C81" i="23"/>
  <c r="H75" i="23"/>
  <c r="C75" i="23"/>
  <c r="G75" i="23" s="1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J52" i="23"/>
  <c r="K52" i="23" s="1"/>
  <c r="J49" i="23"/>
  <c r="K49" i="23" s="1"/>
  <c r="J45" i="23"/>
  <c r="K45" i="23" s="1"/>
  <c r="J42" i="23"/>
  <c r="K42" i="23" s="1"/>
  <c r="J39" i="23"/>
  <c r="K39" i="23" s="1"/>
  <c r="J36" i="23"/>
  <c r="J33" i="23"/>
  <c r="K33" i="23" s="1"/>
  <c r="J30" i="23"/>
  <c r="K30" i="23" s="1"/>
  <c r="J27" i="23"/>
  <c r="K27" i="23" s="1"/>
  <c r="J24" i="23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81" i="23"/>
  <c r="G72" i="23"/>
  <c r="K55" i="23"/>
  <c r="G55" i="23"/>
  <c r="G52" i="23"/>
  <c r="G49" i="23"/>
  <c r="G45" i="23"/>
  <c r="G42" i="23"/>
  <c r="G39" i="23"/>
  <c r="G36" i="23"/>
  <c r="G33" i="23"/>
  <c r="G30" i="23"/>
  <c r="G27" i="23"/>
  <c r="K24" i="23"/>
  <c r="G24" i="23"/>
  <c r="G21" i="23"/>
  <c r="G18" i="23"/>
  <c r="K15" i="23"/>
  <c r="G15" i="23"/>
  <c r="G12" i="23"/>
  <c r="G9" i="23"/>
  <c r="L83" i="24" l="1"/>
  <c r="L12" i="24"/>
  <c r="K39" i="24"/>
  <c r="L54" i="24"/>
  <c r="G111" i="24"/>
  <c r="L111" i="24" s="1"/>
  <c r="N9" i="28"/>
  <c r="L21" i="26"/>
  <c r="L33" i="26"/>
  <c r="L77" i="26"/>
  <c r="L97" i="26"/>
  <c r="L101" i="26"/>
  <c r="L64" i="26"/>
  <c r="L9" i="26"/>
  <c r="L18" i="26"/>
  <c r="L30" i="26"/>
  <c r="L42" i="26"/>
  <c r="L61" i="26"/>
  <c r="L73" i="26"/>
  <c r="L94" i="26"/>
  <c r="L15" i="26"/>
  <c r="L27" i="26"/>
  <c r="L39" i="26"/>
  <c r="L58" i="26"/>
  <c r="L70" i="26"/>
  <c r="L84" i="26"/>
  <c r="L12" i="26"/>
  <c r="L24" i="26"/>
  <c r="L36" i="26"/>
  <c r="L55" i="26"/>
  <c r="L67" i="26"/>
  <c r="L80" i="26"/>
  <c r="L39" i="24"/>
  <c r="L67" i="24"/>
  <c r="L92" i="25"/>
  <c r="L21" i="24"/>
  <c r="L33" i="24"/>
  <c r="L44" i="24"/>
  <c r="L30" i="25"/>
  <c r="L60" i="25"/>
  <c r="L18" i="24"/>
  <c r="L24" i="24"/>
  <c r="L30" i="24"/>
  <c r="L36" i="24"/>
  <c r="L42" i="24"/>
  <c r="L48" i="24"/>
  <c r="L70" i="24"/>
  <c r="L76" i="24"/>
  <c r="L91" i="24"/>
  <c r="L98" i="24"/>
  <c r="L12" i="25"/>
  <c r="L66" i="25"/>
  <c r="L111" i="25"/>
  <c r="L36" i="25"/>
  <c r="L24" i="25"/>
  <c r="L72" i="25"/>
  <c r="L15" i="25"/>
  <c r="L27" i="25"/>
  <c r="L39" i="25"/>
  <c r="L57" i="25"/>
  <c r="L69" i="25"/>
  <c r="L83" i="25"/>
  <c r="L42" i="25"/>
  <c r="L9" i="25"/>
  <c r="L21" i="25"/>
  <c r="L33" i="25"/>
  <c r="L45" i="25"/>
  <c r="L63" i="25"/>
  <c r="L76" i="25"/>
  <c r="L95" i="25"/>
  <c r="L18" i="25"/>
  <c r="L79" i="25"/>
  <c r="L24" i="23"/>
  <c r="L39" i="23"/>
  <c r="L45" i="23"/>
  <c r="K75" i="23"/>
  <c r="L75" i="23" s="1"/>
  <c r="K81" i="23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2" i="23"/>
  <c r="L55" i="23"/>
  <c r="L49" i="23"/>
  <c r="L42" i="23"/>
  <c r="L30" i="23"/>
  <c r="L15" i="23"/>
  <c r="L27" i="23"/>
  <c r="L9" i="23"/>
  <c r="L21" i="23"/>
  <c r="K108" i="21"/>
  <c r="G108" i="2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L88" i="21" s="1"/>
  <c r="J85" i="21"/>
  <c r="K85" i="21" s="1"/>
  <c r="G85" i="21"/>
  <c r="J81" i="21"/>
  <c r="K81" i="21" s="1"/>
  <c r="G81" i="21"/>
  <c r="L81" i="21" s="1"/>
  <c r="J78" i="21"/>
  <c r="K78" i="21" s="1"/>
  <c r="G78" i="21"/>
  <c r="J75" i="21"/>
  <c r="K75" i="21" s="1"/>
  <c r="G75" i="21"/>
  <c r="L75" i="21" s="1"/>
  <c r="J58" i="21"/>
  <c r="K58" i="21" s="1"/>
  <c r="G58" i="21"/>
  <c r="J55" i="21"/>
  <c r="K55" i="21" s="1"/>
  <c r="G55" i="21"/>
  <c r="L55" i="21" s="1"/>
  <c r="K52" i="21"/>
  <c r="G52" i="21"/>
  <c r="J48" i="21"/>
  <c r="K48" i="21" s="1"/>
  <c r="G48" i="21"/>
  <c r="J45" i="21"/>
  <c r="H45" i="21"/>
  <c r="C45" i="21"/>
  <c r="G45" i="21" s="1"/>
  <c r="J42" i="21"/>
  <c r="K42" i="21" s="1"/>
  <c r="G42" i="21"/>
  <c r="L42" i="21" s="1"/>
  <c r="J39" i="21"/>
  <c r="K39" i="21" s="1"/>
  <c r="G39" i="21"/>
  <c r="L39" i="21" s="1"/>
  <c r="J36" i="21"/>
  <c r="K36" i="21" s="1"/>
  <c r="G36" i="21"/>
  <c r="L36" i="21" s="1"/>
  <c r="J33" i="21"/>
  <c r="K33" i="21" s="1"/>
  <c r="G33" i="21"/>
  <c r="L33" i="21" s="1"/>
  <c r="J30" i="21"/>
  <c r="K30" i="21" s="1"/>
  <c r="G30" i="21"/>
  <c r="L30" i="21" s="1"/>
  <c r="J27" i="21"/>
  <c r="K27" i="21" s="1"/>
  <c r="G27" i="21"/>
  <c r="L27" i="21" s="1"/>
  <c r="J24" i="21"/>
  <c r="K24" i="21" s="1"/>
  <c r="G24" i="21"/>
  <c r="L24" i="21" s="1"/>
  <c r="J21" i="21"/>
  <c r="K21" i="21" s="1"/>
  <c r="G21" i="21"/>
  <c r="L21" i="21" s="1"/>
  <c r="J18" i="21"/>
  <c r="K18" i="21" s="1"/>
  <c r="G18" i="21"/>
  <c r="L18" i="21" s="1"/>
  <c r="J15" i="21"/>
  <c r="K15" i="21" s="1"/>
  <c r="G15" i="21"/>
  <c r="L15" i="21" s="1"/>
  <c r="J12" i="21"/>
  <c r="K12" i="21" s="1"/>
  <c r="G12" i="21"/>
  <c r="L12" i="21" s="1"/>
  <c r="H9" i="21"/>
  <c r="K9" i="21" s="1"/>
  <c r="C9" i="21"/>
  <c r="B9" i="21"/>
  <c r="G9" i="21" s="1"/>
  <c r="K45" i="21" l="1"/>
  <c r="L45" i="21" s="1"/>
  <c r="L52" i="21"/>
  <c r="L58" i="21"/>
  <c r="L78" i="21"/>
  <c r="L85" i="21"/>
  <c r="L108" i="21"/>
  <c r="L48" i="21"/>
  <c r="L92" i="21"/>
  <c r="L96" i="21"/>
  <c r="L100" i="21"/>
  <c r="L104" i="21"/>
  <c r="L9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J72" i="22"/>
  <c r="H72" i="22"/>
  <c r="K72" i="22" s="1"/>
  <c r="C72" i="22"/>
  <c r="G72" i="22" s="1"/>
  <c r="J55" i="22"/>
  <c r="H55" i="22"/>
  <c r="C55" i="22"/>
  <c r="G55" i="22" s="1"/>
  <c r="J52" i="22"/>
  <c r="K52" i="22" s="1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J27" i="22"/>
  <c r="H27" i="22"/>
  <c r="K27" i="22" s="1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J96" i="20"/>
  <c r="K96" i="20" s="1"/>
  <c r="J92" i="20"/>
  <c r="K92" i="20" s="1"/>
  <c r="J88" i="20"/>
  <c r="K88" i="20" s="1"/>
  <c r="J85" i="20"/>
  <c r="K85" i="20" s="1"/>
  <c r="J81" i="20"/>
  <c r="J78" i="20"/>
  <c r="K78" i="20" s="1"/>
  <c r="J75" i="20"/>
  <c r="K75" i="20" s="1"/>
  <c r="J58" i="20"/>
  <c r="K58" i="20" s="1"/>
  <c r="J55" i="20"/>
  <c r="K55" i="20" s="1"/>
  <c r="J52" i="20"/>
  <c r="K52" i="20" s="1"/>
  <c r="J48" i="20"/>
  <c r="K48" i="20" s="1"/>
  <c r="J45" i="20"/>
  <c r="J42" i="20"/>
  <c r="K42" i="20" s="1"/>
  <c r="J39" i="20"/>
  <c r="K39" i="20" s="1"/>
  <c r="J36" i="20"/>
  <c r="K36" i="20" s="1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K100" i="20"/>
  <c r="G100" i="20"/>
  <c r="G96" i="20"/>
  <c r="L96" i="20" s="1"/>
  <c r="G92" i="20"/>
  <c r="G85" i="20"/>
  <c r="K81" i="20"/>
  <c r="G81" i="20"/>
  <c r="G78" i="20"/>
  <c r="G75" i="20"/>
  <c r="G58" i="20"/>
  <c r="G55" i="20"/>
  <c r="G52" i="20"/>
  <c r="G48" i="20"/>
  <c r="K45" i="20"/>
  <c r="G45" i="20"/>
  <c r="G42" i="20"/>
  <c r="G39" i="20"/>
  <c r="G36" i="20"/>
  <c r="K33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52" i="22" l="1"/>
  <c r="L89" i="22"/>
  <c r="L93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L106" i="7"/>
  <c r="H106" i="7"/>
  <c r="M106" i="7" s="1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H75" i="7"/>
  <c r="L72" i="7"/>
  <c r="H72" i="7"/>
  <c r="M72" i="7" s="1"/>
  <c r="K69" i="7"/>
  <c r="L69" i="7" s="1"/>
  <c r="H69" i="7"/>
  <c r="K66" i="7"/>
  <c r="L66" i="7" s="1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H37" i="7"/>
  <c r="K34" i="7"/>
  <c r="L34" i="7" s="1"/>
  <c r="H34" i="7"/>
  <c r="L31" i="7"/>
  <c r="H31" i="7"/>
  <c r="M31" i="7" s="1"/>
  <c r="L28" i="7"/>
  <c r="H28" i="7"/>
  <c r="M28" i="7" s="1"/>
  <c r="L25" i="7"/>
  <c r="H25" i="7"/>
  <c r="M25" i="7" s="1"/>
  <c r="K22" i="7"/>
  <c r="L22" i="7" s="1"/>
  <c r="H22" i="7"/>
  <c r="L19" i="7"/>
  <c r="H19" i="7"/>
  <c r="L16" i="7"/>
  <c r="H16" i="7"/>
  <c r="M16" i="7" s="1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H56" i="6"/>
  <c r="L53" i="6"/>
  <c r="H53" i="6"/>
  <c r="K46" i="6"/>
  <c r="L46" i="6" s="1"/>
  <c r="H46" i="6"/>
  <c r="L43" i="6"/>
  <c r="H43" i="6"/>
  <c r="L40" i="6"/>
  <c r="H40" i="6"/>
  <c r="M40" i="6" s="1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K22" i="6"/>
  <c r="L22" i="6" s="1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K50" i="5"/>
  <c r="L50" i="5" s="1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M56" i="4" s="1"/>
  <c r="K53" i="4"/>
  <c r="L53" i="4" s="1"/>
  <c r="H53" i="4"/>
  <c r="K50" i="4"/>
  <c r="L50" i="4" s="1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H22" i="4"/>
  <c r="K19" i="4"/>
  <c r="L19" i="4" s="1"/>
  <c r="H19" i="4"/>
  <c r="K16" i="4"/>
  <c r="L16" i="4" s="1"/>
  <c r="H16" i="4"/>
  <c r="K13" i="4"/>
  <c r="L13" i="4" s="1"/>
  <c r="H13" i="4"/>
  <c r="L10" i="4"/>
  <c r="H10" i="4"/>
  <c r="L73" i="3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H48" i="3"/>
  <c r="K45" i="3"/>
  <c r="L45" i="3" s="1"/>
  <c r="H45" i="3"/>
  <c r="L42" i="3"/>
  <c r="H42" i="3"/>
  <c r="L35" i="3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K20" i="3"/>
  <c r="L20" i="3" s="1"/>
  <c r="H20" i="3"/>
  <c r="M20" i="3" s="1"/>
  <c r="K17" i="3"/>
  <c r="L17" i="3" s="1"/>
  <c r="H17" i="3"/>
  <c r="K14" i="3"/>
  <c r="L14" i="3" s="1"/>
  <c r="H14" i="3"/>
  <c r="M14" i="3" s="1"/>
  <c r="L11" i="3"/>
  <c r="H11" i="3"/>
  <c r="M35" i="3" l="1"/>
  <c r="M45" i="3"/>
  <c r="M48" i="3"/>
  <c r="M73" i="3"/>
  <c r="M13" i="4"/>
  <c r="M16" i="4"/>
  <c r="M19" i="4"/>
  <c r="M22" i="4"/>
  <c r="M59" i="4"/>
  <c r="M10" i="5"/>
  <c r="M97" i="5"/>
  <c r="M56" i="6"/>
  <c r="M79" i="6"/>
  <c r="M19" i="7"/>
  <c r="M34" i="7"/>
  <c r="M37" i="7"/>
  <c r="M7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<sst xmlns="http://schemas.openxmlformats.org/spreadsheetml/2006/main" count="1678" uniqueCount="171">
  <si>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</si>
  <si>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</si>
  <si>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</si>
  <si>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</si>
  <si>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</si>
  <si>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</si>
  <si>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</si>
  <si>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</si>
  <si>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</si>
  <si>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</si>
  <si>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</si>
  <si>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</si>
  <si>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</si>
  <si>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</si>
  <si>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</si>
  <si>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</si>
  <si>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</si>
  <si>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</si>
  <si>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</si>
  <si>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</si>
  <si>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</si>
  <si>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</si>
  <si>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</si>
  <si>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</si>
  <si>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</si>
  <si>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</si>
  <si>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</si>
  <si>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</si>
  <si>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</si>
  <si>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</si>
  <si>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</si>
  <si>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</si>
  <si>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</si>
  <si>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</si>
  <si>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</si>
  <si>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</si>
  <si>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</si>
  <si>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</si>
  <si>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</si>
  <si>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</si>
  <si>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</si>
  <si>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</si>
  <si>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</si>
  <si>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</si>
  <si>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</si>
  <si>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</si>
  <si>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</si>
  <si>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</si>
  <si>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</si>
  <si>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</si>
  <si>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</si>
  <si>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</si>
  <si>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</si>
  <si>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</si>
  <si>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</si>
  <si>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</si>
  <si>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</si>
  <si>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</si>
  <si>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</si>
  <si>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</si>
  <si>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</si>
  <si>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</si>
  <si>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</si>
  <si>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</si>
  <si>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</si>
  <si>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</si>
  <si>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</si>
  <si>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</si>
  <si>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</si>
  <si>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</si>
  <si>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</si>
  <si>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</si>
  <si>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</si>
  <si>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</si>
  <si>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</si>
  <si>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</si>
  <si>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</si>
  <si>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</si>
  <si>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</si>
  <si>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</si>
  <si>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</si>
  <si>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</si>
  <si>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</si>
  <si>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</si>
  <si>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</si>
  <si>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</si>
  <si>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</si>
  <si>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</si>
  <si>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</si>
  <si>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</si>
  <si>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</si>
  <si>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</si>
  <si>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</si>
  <si>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</si>
  <si>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</si>
  <si>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</si>
  <si>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</si>
  <si>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</si>
  <si>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</si>
  <si>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</si>
  <si>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</si>
  <si>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</si>
  <si>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</si>
  <si>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</si>
  <si>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</si>
  <si>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</si>
  <si>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</si>
  <si>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</si>
  <si>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</si>
  <si>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</si>
  <si>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</si>
  <si>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</si>
  <si>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</si>
  <si>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</si>
  <si>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</si>
  <si>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</si>
  <si>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</si>
  <si>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</si>
  <si>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</si>
  <si>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</si>
  <si>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</si>
  <si>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</si>
  <si>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</si>
  <si>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</si>
  <si>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</si>
  <si>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</si>
  <si>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</si>
  <si>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</si>
  <si>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</si>
  <si>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</si>
  <si>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</si>
  <si>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</si>
  <si>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</si>
  <si>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</si>
  <si>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</si>
  <si>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</si>
  <si>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</si>
  <si>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</si>
  <si>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</si>
  <si>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</si>
  <si>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</si>
  <si>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</si>
  <si>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</si>
  <si>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</si>
  <si>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</si>
  <si>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</si>
  <si>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</si>
  <si>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</si>
  <si>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</si>
  <si>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</si>
  <si>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</si>
  <si>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</si>
  <si>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</si>
  <si>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</si>
  <si>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</si>
  <si>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</si>
  <si>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</si>
  <si>
    <t>Mês: 06</t>
  </si>
  <si>
    <t xml:space="preserve">Edianez Chistine Silva </t>
  </si>
  <si>
    <t>Conselho Regional de Odontologia do Estado do Mato Grosso - CRO MT</t>
  </si>
  <si>
    <t>Bruno Eduardo de Oliveira Lima</t>
  </si>
  <si>
    <t>Assistente Adm. Geral II</t>
  </si>
  <si>
    <t>Assistente Adm. Fiscal II</t>
  </si>
  <si>
    <t>HORA EXTRA + DSR</t>
  </si>
  <si>
    <t xml:space="preserve">Hora Extra </t>
  </si>
  <si>
    <t>DSR</t>
  </si>
  <si>
    <t xml:space="preserve">Jéssika Sheyenne Floriano </t>
  </si>
  <si>
    <t>Assistente Adm Geral II</t>
  </si>
  <si>
    <t>006 - Fiscalização SINOP</t>
  </si>
  <si>
    <t>007 - Fiscalização Rondonopolis</t>
  </si>
  <si>
    <t>Adriel Salles Fogaça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</si>
</sst>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3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11" xfId="0" applyFont="1" applyBorder="1"/>
    <xf numFmtId="164" fontId="8" fillId="0" borderId="11" xfId="1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6" fillId="2" borderId="5" xfId="0" applyFont="1" applyFill="1" applyBorder="1"/>
    <xf numFmtId="0" fontId="14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Border="1"/>
    <xf numFmtId="164" fontId="2" fillId="0" borderId="11" xfId="0" applyNumberFormat="1" applyFont="1" applyBorder="1"/>
    <xf numFmtId="14" fontId="15" fillId="0" borderId="2" xfId="0" applyNumberFormat="1" applyFont="1" applyBorder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164" fontId="15" fillId="0" borderId="2" xfId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9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15" fillId="0" borderId="14" xfId="0" applyFont="1" applyBorder="1"/>
    <xf numFmtId="0" fontId="16" fillId="2" borderId="11" xfId="0" applyFont="1" applyFill="1" applyBorder="1" applyAlignment="1">
      <alignment vertical="top"/>
    </xf>
    <xf numFmtId="0" fontId="16" fillId="2" borderId="11" xfId="0" applyFont="1" applyFill="1" applyBorder="1"/>
    <xf numFmtId="0" fontId="16" fillId="2" borderId="5" xfId="0" applyFont="1" applyFill="1" applyBorder="1"/>
    <xf numFmtId="0" fontId="20" fillId="0" borderId="1" xfId="0" applyFont="1" applyBorder="1"/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2" xfId="1" applyFont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0" borderId="11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/>
    </xf>
    <xf numFmtId="14" fontId="15" fillId="0" borderId="2" xfId="0" applyNumberFormat="1" applyFont="1" applyBorder="1" applyAlignment="1">
      <alignment horizontal="left" vertical="center"/>
    </xf>
    <xf numFmtId="164" fontId="11" fillId="0" borderId="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4" xfId="0" applyFont="1" applyBorder="1"/>
    <xf numFmtId="0" fontId="20" fillId="0" borderId="7" xfId="0" applyFont="1" applyBorder="1"/>
    <xf numFmtId="164" fontId="15" fillId="0" borderId="13" xfId="1" applyFont="1" applyBorder="1" applyAlignment="1"/>
    <xf numFmtId="14" fontId="11" fillId="0" borderId="2" xfId="0" applyNumberFormat="1" applyFont="1" applyBorder="1" applyAlignment="1">
      <alignment horizontal="left"/>
    </xf>
    <xf numFmtId="164" fontId="21" fillId="0" borderId="0" xfId="1" applyFont="1"/>
    <xf numFmtId="164" fontId="21" fillId="0" borderId="0" xfId="1" applyFont="1" applyFill="1"/>
    <xf numFmtId="164" fontId="21" fillId="0" borderId="0" xfId="1" applyFont="1" applyFill="1" applyAlignment="1">
      <alignment horizont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15" fillId="0" borderId="6" xfId="1" applyFont="1" applyBorder="1" applyAlignme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164" fontId="11" fillId="0" borderId="0" xfId="1" applyFont="1" applyFill="1" applyAlignment="1">
      <alignment horizontal="center"/>
    </xf>
    <xf numFmtId="0" fontId="20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0" borderId="5" xfId="0" applyFont="1" applyBorder="1"/>
    <xf numFmtId="164" fontId="22" fillId="0" borderId="0" xfId="1" applyFont="1" applyAlignment="1">
      <alignment horizontal="center"/>
    </xf>
    <xf numFmtId="164" fontId="2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3" fillId="2" borderId="11" xfId="0" applyFont="1" applyFill="1" applyBorder="1"/>
    <xf numFmtId="0" fontId="23" fillId="0" borderId="0" xfId="0" applyFont="1"/>
    <xf numFmtId="0" fontId="24" fillId="0" borderId="0" xfId="0" applyFont="1"/>
    <xf numFmtId="14" fontId="25" fillId="0" borderId="0" xfId="0" applyNumberFormat="1" applyFont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0" fontId="28" fillId="0" borderId="14" xfId="0" applyFont="1" applyBorder="1"/>
    <xf numFmtId="0" fontId="25" fillId="2" borderId="11" xfId="0" applyFont="1" applyFill="1" applyBorder="1" applyAlignment="1">
      <alignment vertical="top"/>
    </xf>
    <xf numFmtId="0" fontId="25" fillId="2" borderId="11" xfId="0" applyFont="1" applyFill="1" applyBorder="1"/>
    <xf numFmtId="0" fontId="25" fillId="2" borderId="5" xfId="0" applyFont="1" applyFill="1" applyBorder="1"/>
    <xf numFmtId="0" fontId="30" fillId="0" borderId="1" xfId="0" applyFont="1" applyBorder="1"/>
    <xf numFmtId="164" fontId="28" fillId="0" borderId="0" xfId="1" applyFont="1" applyAlignment="1">
      <alignment horizontal="center" vertical="center"/>
    </xf>
    <xf numFmtId="164" fontId="28" fillId="0" borderId="0" xfId="1" applyFont="1" applyFill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8" fillId="0" borderId="2" xfId="0" applyNumberFormat="1" applyFont="1" applyBorder="1" applyAlignment="1">
      <alignment horizontal="left"/>
    </xf>
    <xf numFmtId="164" fontId="28" fillId="0" borderId="2" xfId="1" applyFont="1" applyBorder="1" applyAlignment="1">
      <alignment horizontal="center"/>
    </xf>
    <xf numFmtId="164" fontId="28" fillId="0" borderId="2" xfId="1" applyFont="1" applyFill="1" applyBorder="1" applyAlignment="1">
      <alignment horizontal="center"/>
    </xf>
    <xf numFmtId="164" fontId="28" fillId="0" borderId="2" xfId="1" applyFont="1" applyFill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0" xfId="1" applyFont="1" applyAlignment="1">
      <alignment horizontal="center"/>
    </xf>
    <xf numFmtId="164" fontId="28" fillId="0" borderId="0" xfId="1" applyFont="1" applyFill="1" applyAlignment="1">
      <alignment horizontal="center"/>
    </xf>
    <xf numFmtId="0" fontId="28" fillId="0" borderId="0" xfId="0" applyFont="1"/>
    <xf numFmtId="164" fontId="28" fillId="0" borderId="11" xfId="1" applyFont="1" applyBorder="1" applyAlignment="1">
      <alignment horizontal="center"/>
    </xf>
    <xf numFmtId="164" fontId="28" fillId="0" borderId="11" xfId="1" applyFont="1" applyFill="1" applyBorder="1" applyAlignment="1">
      <alignment horizontal="center"/>
    </xf>
    <xf numFmtId="164" fontId="28" fillId="0" borderId="11" xfId="1" applyFont="1" applyFill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/>
    </xf>
    <xf numFmtId="14" fontId="28" fillId="0" borderId="2" xfId="0" applyNumberFormat="1" applyFont="1" applyBorder="1" applyAlignment="1">
      <alignment horizontal="left" vertical="center"/>
    </xf>
    <xf numFmtId="0" fontId="25" fillId="0" borderId="0" xfId="0" applyFont="1"/>
    <xf numFmtId="164" fontId="28" fillId="0" borderId="6" xfId="1" applyFont="1" applyBorder="1" applyAlignment="1">
      <alignment horizontal="center"/>
    </xf>
    <xf numFmtId="164" fontId="28" fillId="0" borderId="6" xfId="1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left" vertical="center"/>
    </xf>
    <xf numFmtId="14" fontId="32" fillId="0" borderId="11" xfId="0" applyNumberFormat="1" applyFont="1" applyBorder="1" applyAlignment="1">
      <alignment horizontal="left" vertical="center"/>
    </xf>
    <xf numFmtId="0" fontId="25" fillId="2" borderId="14" xfId="0" applyFont="1" applyFill="1" applyBorder="1"/>
    <xf numFmtId="0" fontId="25" fillId="0" borderId="14" xfId="0" applyFont="1" applyBorder="1"/>
    <xf numFmtId="0" fontId="30" fillId="0" borderId="7" xfId="0" applyFont="1" applyBorder="1"/>
    <xf numFmtId="164" fontId="28" fillId="0" borderId="13" xfId="1" applyFont="1" applyBorder="1" applyAlignment="1"/>
    <xf numFmtId="164" fontId="33" fillId="0" borderId="0" xfId="1" applyFont="1"/>
    <xf numFmtId="164" fontId="33" fillId="0" borderId="0" xfId="1" applyFont="1" applyFill="1"/>
    <xf numFmtId="164" fontId="33" fillId="0" borderId="0" xfId="1" applyFont="1" applyFill="1" applyAlignment="1">
      <alignment horizontal="center"/>
    </xf>
    <xf numFmtId="164" fontId="33" fillId="0" borderId="0" xfId="1" applyFont="1" applyFill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4" fontId="28" fillId="0" borderId="6" xfId="1" applyFont="1" applyBorder="1" applyAlignme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28" fillId="0" borderId="1" xfId="0" applyFont="1" applyBorder="1" applyAlignment="1">
      <alignment vertical="center"/>
    </xf>
    <xf numFmtId="166" fontId="0" fillId="0" borderId="0" xfId="0" applyNumberFormat="1"/>
    <xf numFmtId="164" fontId="31" fillId="0" borderId="1" xfId="0" applyNumberFormat="1" applyFont="1" applyBorder="1"/>
    <xf numFmtId="44" fontId="0" fillId="0" borderId="0" xfId="0" applyNumberFormat="1"/>
    <xf numFmtId="0" fontId="30" fillId="0" borderId="5" xfId="0" applyFont="1" applyBorder="1"/>
    <xf numFmtId="0" fontId="25" fillId="2" borderId="16" xfId="0" applyFont="1" applyFill="1" applyBorder="1"/>
    <xf numFmtId="0" fontId="30" fillId="0" borderId="17" xfId="0" applyFont="1" applyBorder="1"/>
    <xf numFmtId="14" fontId="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0" fontId="30" fillId="0" borderId="11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5" xfId="0" applyFont="1" applyBorder="1"/>
    <xf numFmtId="0" fontId="1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/>
    <xf numFmtId="14" fontId="4" fillId="0" borderId="0" xfId="0" applyNumberFormat="1" applyFont="1" applyAlignment="1">
      <alignment horizontal="center"/>
    </xf>
    <xf numFmtId="0" fontId="0" fillId="0" borderId="0" xfId="0"/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13" fillId="0" borderId="11" xfId="0" applyFont="1" applyBorder="1"/>
    <xf numFmtId="0" fontId="13" fillId="0" borderId="5" xfId="0" applyFont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26" fillId="0" borderId="11" xfId="1" applyFont="1" applyBorder="1" applyAlignment="1">
      <alignment horizontal="center"/>
    </xf>
    <xf numFmtId="0" fontId="25" fillId="2" borderId="11" xfId="0" applyFont="1" applyFill="1" applyBorder="1" applyAlignment="1">
      <alignment horizontal="center" vertical="center"/>
    </xf>
    <xf numFmtId="0" fontId="29" fillId="0" borderId="11" xfId="0" applyFont="1" applyBorder="1"/>
    <xf numFmtId="0" fontId="29" fillId="0" borderId="5" xfId="0" applyFont="1" applyBorder="1"/>
    <xf numFmtId="0" fontId="27" fillId="2" borderId="11" xfId="0" applyFont="1" applyFill="1" applyBorder="1" applyAlignment="1">
      <alignment horizontal="center"/>
    </xf>
    <xf numFmtId="0" fontId="31" fillId="0" borderId="11" xfId="0" applyFont="1" applyBorder="1"/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/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x14ac:dyDescent="0.25">
      <c r="A5" s="91" t="s">
        <v>2</v>
      </c>
      <c r="B5" s="231" t="s">
        <v>3</v>
      </c>
      <c r="C5" s="231" t="s">
        <v>4</v>
      </c>
      <c r="D5" s="227" t="s">
        <v>5</v>
      </c>
      <c r="E5" s="227" t="s">
        <v>6</v>
      </c>
      <c r="F5" s="227" t="s">
        <v>7</v>
      </c>
      <c r="G5" s="231" t="s">
        <v>8</v>
      </c>
      <c r="H5" s="227" t="s">
        <v>9</v>
      </c>
      <c r="I5" s="231" t="s">
        <v>10</v>
      </c>
      <c r="J5" s="231" t="s">
        <v>11</v>
      </c>
      <c r="K5" s="227" t="s">
        <v>12</v>
      </c>
      <c r="L5" s="227" t="s">
        <v>13</v>
      </c>
      <c r="M5" s="227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52"/>
      <c r="O6" s="1"/>
      <c r="P6" s="1"/>
      <c r="Q6" s="1"/>
      <c r="R6" s="1"/>
    </row>
    <row r="7" spans="1:18" x14ac:dyDescent="0.25">
      <c r="A7" s="92" t="s">
        <v>16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52"/>
      <c r="O7" s="1"/>
      <c r="P7" s="1"/>
      <c r="Q7" s="1"/>
      <c r="R7" s="1"/>
    </row>
    <row r="8" spans="1:18" x14ac:dyDescent="0.25">
      <c r="A8" s="2" t="s">
        <v>17</v>
      </c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7">
        <v>43507</v>
      </c>
      <c r="B32" s="98">
        <v>7000</v>
      </c>
      <c r="C32" s="98"/>
      <c r="D32" s="98"/>
      <c r="E32" s="98"/>
      <c r="F32" s="98"/>
      <c r="G32" s="98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231" t="s">
        <v>3</v>
      </c>
      <c r="C33" s="231" t="s">
        <v>4</v>
      </c>
      <c r="D33" s="227" t="s">
        <v>5</v>
      </c>
      <c r="E33" s="227" t="s">
        <v>6</v>
      </c>
      <c r="F33" s="227" t="s">
        <v>7</v>
      </c>
      <c r="G33" s="231" t="s">
        <v>8</v>
      </c>
      <c r="H33" s="227" t="s">
        <v>9</v>
      </c>
      <c r="I33" s="231" t="s">
        <v>10</v>
      </c>
      <c r="J33" s="231" t="s">
        <v>11</v>
      </c>
      <c r="K33" s="227" t="s">
        <v>12</v>
      </c>
      <c r="L33" s="227" t="s">
        <v>13</v>
      </c>
      <c r="M33" s="227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6" t="s">
        <v>16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37" t="s">
        <v>53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231" t="s">
        <v>3</v>
      </c>
      <c r="C74" s="231" t="s">
        <v>4</v>
      </c>
      <c r="D74" s="227" t="s">
        <v>5</v>
      </c>
      <c r="E74" s="227" t="s">
        <v>54</v>
      </c>
      <c r="F74" s="227" t="s">
        <v>7</v>
      </c>
      <c r="G74" s="231" t="s">
        <v>55</v>
      </c>
      <c r="H74" s="227" t="s">
        <v>9</v>
      </c>
      <c r="I74" s="231" t="s">
        <v>10</v>
      </c>
      <c r="J74" s="231" t="s">
        <v>11</v>
      </c>
      <c r="K74" s="227" t="s">
        <v>12</v>
      </c>
      <c r="L74" s="227" t="s">
        <v>13</v>
      </c>
      <c r="M74" s="227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6" t="s">
        <v>16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0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7" t="s">
        <v>93</v>
      </c>
      <c r="E66" s="242" t="s">
        <v>8</v>
      </c>
      <c r="F66" s="245" t="s">
        <v>94</v>
      </c>
      <c r="G66" s="245" t="s">
        <v>9</v>
      </c>
      <c r="H66" s="231" t="s">
        <v>11</v>
      </c>
      <c r="I66" s="231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3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29"/>
      <c r="C68" s="229"/>
      <c r="D68" s="229"/>
      <c r="E68" s="244"/>
      <c r="F68" s="229"/>
      <c r="G68" s="229"/>
      <c r="H68" s="229"/>
      <c r="I68" s="229"/>
      <c r="J68" s="229"/>
      <c r="K68" s="229"/>
      <c r="L68" s="229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2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232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232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23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232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232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B102:L102"/>
    <mergeCell ref="B69:L69"/>
    <mergeCell ref="B79:L79"/>
    <mergeCell ref="B86:L86"/>
    <mergeCell ref="B90:L90"/>
    <mergeCell ref="B94:L94"/>
    <mergeCell ref="B98:L98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0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7" t="s">
        <v>93</v>
      </c>
      <c r="E66" s="242" t="s">
        <v>8</v>
      </c>
      <c r="F66" s="245" t="s">
        <v>94</v>
      </c>
      <c r="G66" s="245" t="s">
        <v>9</v>
      </c>
      <c r="H66" s="231" t="s">
        <v>11</v>
      </c>
      <c r="I66" s="231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3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29"/>
      <c r="C68" s="229"/>
      <c r="D68" s="229"/>
      <c r="E68" s="244"/>
      <c r="F68" s="229"/>
      <c r="G68" s="229"/>
      <c r="H68" s="229"/>
      <c r="I68" s="229"/>
      <c r="J68" s="229"/>
      <c r="K68" s="229"/>
      <c r="L68" s="229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2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2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2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2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5:L105"/>
    <mergeCell ref="B69:L69"/>
    <mergeCell ref="B82:L82"/>
    <mergeCell ref="B89:L89"/>
    <mergeCell ref="B93:L93"/>
    <mergeCell ref="B97:L97"/>
    <mergeCell ref="B101:L101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30"/>
  <sheetViews>
    <sheetView topLeftCell="A4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11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88" t="s">
        <v>157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62.15+2.6+66.85</f>
        <v>131.6</v>
      </c>
      <c r="K9" s="56">
        <f>SUM(H9:J9)</f>
        <v>298.64</v>
      </c>
      <c r="L9" s="56">
        <f>G9-K9</f>
        <v>1759.4100000000003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2595.1</v>
      </c>
      <c r="C12" s="55">
        <f>2786.32</f>
        <v>2786.32</v>
      </c>
      <c r="D12" s="55">
        <v>51.9</v>
      </c>
      <c r="E12" s="67"/>
      <c r="F12" s="68">
        <v>2089.7399999999998</v>
      </c>
      <c r="G12" s="69">
        <f>SUM(B12:F12)</f>
        <v>7523.0599999999995</v>
      </c>
      <c r="H12" s="56">
        <f>327.1+221.43</f>
        <v>548.53</v>
      </c>
      <c r="I12" s="56">
        <f>31.19+49.57</f>
        <v>80.760000000000005</v>
      </c>
      <c r="J12" s="56">
        <f>62.15+1.56+126.81</f>
        <v>190.52</v>
      </c>
      <c r="K12" s="56">
        <f>H12+I12+J12</f>
        <v>819.81</v>
      </c>
      <c r="L12" s="56">
        <f>G12-K12</f>
        <v>6703.25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62.15+2.47+80.13</f>
        <v>144.75</v>
      </c>
      <c r="K15" s="56">
        <f>H15+I15+J15</f>
        <v>2471.4</v>
      </c>
      <c r="L15" s="56">
        <f>G15-K15</f>
        <v>7345.74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62.15+2.73+280.68</f>
        <v>345.56</v>
      </c>
      <c r="K18" s="56">
        <f>H18+I18+J18</f>
        <v>786.86</v>
      </c>
      <c r="L18" s="56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62.15+2.47+66.85+26.71</f>
        <v>158.18</v>
      </c>
      <c r="K21" s="56">
        <f>SUM(H21:J21)</f>
        <v>301.77999999999997</v>
      </c>
      <c r="L21" s="56">
        <f>G21-K21</f>
        <v>1495.8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62.15+2.73</f>
        <v>64.88</v>
      </c>
      <c r="K24" s="56">
        <f>SUM(H24:J24)</f>
        <v>618.39</v>
      </c>
      <c r="L24" s="56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2552.9699999999998</v>
      </c>
      <c r="C27" s="56">
        <v>1701.99</v>
      </c>
      <c r="D27" s="56"/>
      <c r="E27" s="69"/>
      <c r="F27" s="87"/>
      <c r="G27" s="69">
        <f>SUM(B27:F27)</f>
        <v>4254.96</v>
      </c>
      <c r="H27" s="56">
        <f>296.88+134.99</f>
        <v>431.87</v>
      </c>
      <c r="I27" s="59">
        <v>26.41</v>
      </c>
      <c r="J27" s="56">
        <f>62.15+1.69+101.18+53.42</f>
        <v>218.44</v>
      </c>
      <c r="K27" s="56">
        <f>SUM(H27:J27)</f>
        <v>676.72</v>
      </c>
      <c r="L27" s="56">
        <f>G27-K27</f>
        <v>3578.24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62.15+2.73</f>
        <v>64.88</v>
      </c>
      <c r="K30" s="56">
        <f>SUM(H30:J30)</f>
        <v>219.79999999999998</v>
      </c>
      <c r="L30" s="56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62.15+2.73+90.21+80.13</f>
        <v>235.21999999999997</v>
      </c>
      <c r="K33" s="56">
        <f>SUM(H33:J33)</f>
        <v>704.96</v>
      </c>
      <c r="L33" s="56">
        <f>G33-K33</f>
        <v>2873.98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62.15+2.73+90.21+26.71</f>
        <v>181.79999999999998</v>
      </c>
      <c r="K36" s="56">
        <f>SUM(H36:J36)</f>
        <v>336.71999999999997</v>
      </c>
      <c r="L36" s="56">
        <f>G36-K36</f>
        <v>1586.69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1602.84</v>
      </c>
      <c r="C39" s="55">
        <v>619.76</v>
      </c>
      <c r="D39" s="55"/>
      <c r="E39" s="67">
        <v>288.51</v>
      </c>
      <c r="F39" s="68"/>
      <c r="G39" s="69">
        <f>SUM(B39:F39)</f>
        <v>2511.1099999999997</v>
      </c>
      <c r="H39" s="56">
        <f>163.85+46.48</f>
        <v>210.32999999999998</v>
      </c>
      <c r="I39" s="56"/>
      <c r="J39" s="56">
        <f>19.23+62.15+1.82+66.85</f>
        <v>150.04999999999998</v>
      </c>
      <c r="K39" s="56">
        <f>H39+I39+J39</f>
        <v>360.38</v>
      </c>
      <c r="L39" s="56">
        <f>G39-K39</f>
        <v>2150.7299999999996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19.23+62.15+1.56+208.57</f>
        <v>291.51</v>
      </c>
      <c r="K42" s="56">
        <f>H42+I42+J42</f>
        <v>446.42999999999995</v>
      </c>
      <c r="L42" s="56">
        <f>G42-K42</f>
        <v>1476.98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5" t="s">
        <v>119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1">
        <v>44341</v>
      </c>
      <c r="B44" s="56">
        <v>1797.58</v>
      </c>
      <c r="C44" s="56"/>
      <c r="D44" s="56"/>
      <c r="E44" s="69"/>
      <c r="F44" s="74"/>
      <c r="G44" s="69">
        <f>SUM(B44:F44)</f>
        <v>1797.58</v>
      </c>
      <c r="H44" s="56">
        <v>143.6</v>
      </c>
      <c r="I44" s="56"/>
      <c r="J44" s="56">
        <f>62.15+2.73+133.55</f>
        <v>198.43</v>
      </c>
      <c r="K44" s="56">
        <f>H44+I44+J44</f>
        <v>342.03</v>
      </c>
      <c r="L44" s="56">
        <f>G44-K44</f>
        <v>1455.55</v>
      </c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28" t="s">
        <v>120</v>
      </c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8" t="s">
        <v>121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53" t="s">
        <v>122</v>
      </c>
      <c r="B47" s="58"/>
      <c r="C47" s="58"/>
      <c r="D47" s="58"/>
      <c r="E47" s="71"/>
      <c r="F47" s="71"/>
      <c r="G47" s="73"/>
      <c r="H47" s="83"/>
      <c r="I47" s="83"/>
      <c r="J47" s="83"/>
      <c r="K47" s="83"/>
      <c r="L47" s="83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0">
        <v>38054</v>
      </c>
      <c r="B48" s="55">
        <v>2886.52</v>
      </c>
      <c r="C48" s="55"/>
      <c r="D48" s="55">
        <v>57.73</v>
      </c>
      <c r="E48" s="67">
        <v>1282.48</v>
      </c>
      <c r="F48" s="67"/>
      <c r="G48" s="69">
        <f>SUM(B48:F48)</f>
        <v>4226.7299999999996</v>
      </c>
      <c r="H48" s="56">
        <v>427.91</v>
      </c>
      <c r="I48" s="56">
        <v>218.6</v>
      </c>
      <c r="J48" s="56">
        <f>62.15+2.73+126.81</f>
        <v>191.69</v>
      </c>
      <c r="K48" s="56">
        <f>H48+I48+J48</f>
        <v>838.2</v>
      </c>
      <c r="L48" s="56">
        <f>G48-K48</f>
        <v>3388.5299999999997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8" t="s">
        <v>123</v>
      </c>
      <c r="B49" s="58"/>
      <c r="C49" s="58"/>
      <c r="D49" s="58"/>
      <c r="E49" s="71"/>
      <c r="F49" s="71"/>
      <c r="G49" s="73"/>
      <c r="H49" s="83"/>
      <c r="I49" s="83"/>
      <c r="J49" s="83"/>
      <c r="K49" s="83"/>
      <c r="L49" s="8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53" t="s">
        <v>108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0">
        <v>44319</v>
      </c>
      <c r="B51" s="55">
        <v>1797.58</v>
      </c>
      <c r="C51" s="55"/>
      <c r="D51" s="55"/>
      <c r="E51" s="67"/>
      <c r="F51" s="67"/>
      <c r="G51" s="69">
        <f>SUM(B51:F51)</f>
        <v>1797.58</v>
      </c>
      <c r="H51" s="56">
        <v>143.6</v>
      </c>
      <c r="I51" s="56"/>
      <c r="J51" s="56">
        <f>62.15+2.6</f>
        <v>64.75</v>
      </c>
      <c r="K51" s="56">
        <f>H51+I51+J51</f>
        <v>208.35</v>
      </c>
      <c r="L51" s="56">
        <f>G51-K51</f>
        <v>1589.23</v>
      </c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8" t="s">
        <v>124</v>
      </c>
      <c r="B52" s="58"/>
      <c r="C52" s="58"/>
      <c r="D52" s="58"/>
      <c r="E52" s="71"/>
      <c r="F52" s="71"/>
      <c r="G52" s="73"/>
      <c r="H52" s="83"/>
      <c r="I52" s="83"/>
      <c r="J52" s="83"/>
      <c r="K52" s="83"/>
      <c r="L52" s="8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116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43845</v>
      </c>
      <c r="B54" s="55">
        <v>1282.27</v>
      </c>
      <c r="C54" s="55">
        <f>854.85</f>
        <v>854.85</v>
      </c>
      <c r="D54" s="55"/>
      <c r="E54" s="67"/>
      <c r="F54" s="67">
        <v>961.71</v>
      </c>
      <c r="G54" s="69">
        <f>SUM(B54:F54)</f>
        <v>3098.83</v>
      </c>
      <c r="H54" s="56">
        <f>110.05+64.11</f>
        <v>174.16</v>
      </c>
      <c r="I54" s="56"/>
      <c r="J54" s="56">
        <f>19.23+62.15+1.43+298.71</f>
        <v>381.52</v>
      </c>
      <c r="K54" s="56">
        <f>H54+I54+J54</f>
        <v>555.67999999999995</v>
      </c>
      <c r="L54" s="56">
        <f>G54-K54</f>
        <v>2543.15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L55" s="100"/>
    </row>
    <row r="56" spans="1:32" ht="15.75" customHeight="1" x14ac:dyDescent="0.25">
      <c r="A56" s="82"/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82"/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230" t="s">
        <v>90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8" t="s">
        <v>157</v>
      </c>
      <c r="B60" s="89">
        <v>2022</v>
      </c>
      <c r="C60" s="90"/>
      <c r="D60" s="90"/>
      <c r="E60" s="65"/>
      <c r="F60" s="65"/>
      <c r="G60" s="65"/>
      <c r="H60" s="90"/>
      <c r="I60" s="90"/>
      <c r="J60" s="90"/>
      <c r="K60" s="90"/>
      <c r="L60" s="90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91" t="s">
        <v>2</v>
      </c>
      <c r="B61" s="231" t="s">
        <v>3</v>
      </c>
      <c r="C61" s="231" t="s">
        <v>92</v>
      </c>
      <c r="D61" s="227" t="s">
        <v>93</v>
      </c>
      <c r="E61" s="242" t="s">
        <v>8</v>
      </c>
      <c r="F61" s="245" t="s">
        <v>94</v>
      </c>
      <c r="G61" s="245" t="s">
        <v>9</v>
      </c>
      <c r="H61" s="231" t="s">
        <v>11</v>
      </c>
      <c r="I61" s="231" t="s">
        <v>95</v>
      </c>
      <c r="J61" s="227" t="s">
        <v>12</v>
      </c>
      <c r="K61" s="227" t="s">
        <v>13</v>
      </c>
      <c r="L61" s="227" t="s">
        <v>14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90" t="s">
        <v>15</v>
      </c>
      <c r="B62" s="228"/>
      <c r="C62" s="228"/>
      <c r="D62" s="228"/>
      <c r="E62" s="243"/>
      <c r="F62" s="228"/>
      <c r="G62" s="228"/>
      <c r="H62" s="228"/>
      <c r="I62" s="228"/>
      <c r="J62" s="228"/>
      <c r="K62" s="228"/>
      <c r="L62" s="228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92" t="s">
        <v>16</v>
      </c>
      <c r="B63" s="229"/>
      <c r="C63" s="229"/>
      <c r="D63" s="229"/>
      <c r="E63" s="244"/>
      <c r="F63" s="229"/>
      <c r="G63" s="229"/>
      <c r="H63" s="229"/>
      <c r="I63" s="229"/>
      <c r="J63" s="229"/>
      <c r="K63" s="229"/>
      <c r="L63" s="229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" t="s">
        <v>120</v>
      </c>
      <c r="B64" s="232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" t="s">
        <v>125</v>
      </c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3" t="s">
        <v>126</v>
      </c>
      <c r="B66" s="58"/>
      <c r="C66" s="58"/>
      <c r="D66" s="58"/>
      <c r="E66" s="71"/>
      <c r="F66" s="71"/>
      <c r="G66" s="73"/>
      <c r="H66" s="83"/>
      <c r="I66" s="83"/>
      <c r="J66" s="83"/>
      <c r="K66" s="83"/>
      <c r="L66" s="83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50">
        <v>39783</v>
      </c>
      <c r="B67" s="55">
        <v>2886.52</v>
      </c>
      <c r="C67" s="55"/>
      <c r="D67" s="55">
        <v>57.73</v>
      </c>
      <c r="E67" s="67">
        <v>1298.93</v>
      </c>
      <c r="F67" s="67"/>
      <c r="G67" s="69">
        <f>SUM(B67:F67)</f>
        <v>4243.18</v>
      </c>
      <c r="H67" s="56">
        <v>430.22</v>
      </c>
      <c r="I67" s="56">
        <v>221.79</v>
      </c>
      <c r="J67" s="56">
        <f>62.15+2.73+458.8+80.13</f>
        <v>603.81000000000006</v>
      </c>
      <c r="K67" s="56">
        <f>H67+I67+J67</f>
        <v>1255.8200000000002</v>
      </c>
      <c r="L67" s="56">
        <f>G67-K67</f>
        <v>2987.36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3" t="s">
        <v>127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" t="s">
        <v>116</v>
      </c>
      <c r="B69" s="57"/>
      <c r="C69" s="60"/>
      <c r="D69" s="60"/>
      <c r="E69" s="76"/>
      <c r="F69" s="77"/>
      <c r="G69" s="78"/>
      <c r="H69" s="61"/>
      <c r="I69" s="61"/>
      <c r="J69" s="61"/>
      <c r="K69" s="61"/>
      <c r="L69" s="6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50">
        <v>43325</v>
      </c>
      <c r="B70" s="55">
        <v>1859.3</v>
      </c>
      <c r="C70" s="55"/>
      <c r="D70" s="55"/>
      <c r="E70" s="67">
        <v>288.51</v>
      </c>
      <c r="F70" s="67"/>
      <c r="G70" s="69">
        <f>SUM(B70:F70)</f>
        <v>2147.81</v>
      </c>
      <c r="H70" s="56">
        <v>176.99</v>
      </c>
      <c r="I70" s="56"/>
      <c r="J70" s="56">
        <f>62.15+1.69+66.85+26.71</f>
        <v>157.4</v>
      </c>
      <c r="K70" s="56">
        <f>H70+I70+J70</f>
        <v>334.39</v>
      </c>
      <c r="L70" s="56">
        <f>G70-K70</f>
        <v>1813.42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3" t="s">
        <v>155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5" t="s">
        <v>156</v>
      </c>
      <c r="B72" s="57"/>
      <c r="C72" s="60"/>
      <c r="D72" s="60"/>
      <c r="E72" s="76"/>
      <c r="F72" s="77"/>
      <c r="G72" s="78"/>
      <c r="H72" s="61"/>
      <c r="I72" s="61"/>
      <c r="J72" s="61"/>
      <c r="K72" s="61"/>
      <c r="L72" s="6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50">
        <v>44686</v>
      </c>
      <c r="B73" s="55">
        <v>1797.58</v>
      </c>
      <c r="C73" s="55"/>
      <c r="D73" s="55"/>
      <c r="E73" s="67"/>
      <c r="F73" s="67"/>
      <c r="G73" s="69">
        <f>SUM(B73:F73)</f>
        <v>1797.58</v>
      </c>
      <c r="H73" s="56">
        <v>143.6</v>
      </c>
      <c r="I73" s="56"/>
      <c r="J73" s="56">
        <f>116.01+2.73</f>
        <v>118.74000000000001</v>
      </c>
      <c r="K73" s="56">
        <f>H73+I73+J73</f>
        <v>262.34000000000003</v>
      </c>
      <c r="L73" s="56">
        <f>G73-K73</f>
        <v>1535.2399999999998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8" t="s">
        <v>128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0" t="s">
        <v>116</v>
      </c>
      <c r="B75" s="57"/>
      <c r="C75" s="57"/>
      <c r="D75" s="57"/>
      <c r="E75" s="70"/>
      <c r="F75" s="70"/>
      <c r="G75" s="66"/>
      <c r="H75" s="54"/>
      <c r="I75" s="54"/>
      <c r="J75" s="54"/>
      <c r="K75" s="54"/>
      <c r="L75" s="54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6">
        <v>43325</v>
      </c>
      <c r="B76" s="55">
        <v>1282.27</v>
      </c>
      <c r="C76" s="55">
        <v>1239.53</v>
      </c>
      <c r="D76" s="55"/>
      <c r="E76" s="67">
        <v>577.02</v>
      </c>
      <c r="F76" s="68"/>
      <c r="G76" s="69">
        <f>SUM(B76:F76)</f>
        <v>3098.82</v>
      </c>
      <c r="H76" s="56">
        <f>187.48+93.37</f>
        <v>280.85000000000002</v>
      </c>
      <c r="I76" s="56"/>
      <c r="J76" s="56">
        <f>19.23+62.15+1.69+183.44</f>
        <v>266.51</v>
      </c>
      <c r="K76" s="56">
        <f>H76+I76+J76</f>
        <v>547.36</v>
      </c>
      <c r="L76" s="56">
        <f>G76-K76</f>
        <v>2551.46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28" t="s">
        <v>129</v>
      </c>
      <c r="B77" s="232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3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5" t="s">
        <v>131</v>
      </c>
      <c r="B79" s="57"/>
      <c r="C79" s="60"/>
      <c r="D79" s="60"/>
      <c r="E79" s="76"/>
      <c r="F79" s="77"/>
      <c r="G79" s="78"/>
      <c r="H79" s="61"/>
      <c r="I79" s="61"/>
      <c r="J79" s="61"/>
      <c r="K79" s="61"/>
      <c r="L79" s="6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50">
        <v>44509</v>
      </c>
      <c r="B80" s="55">
        <v>2663.52</v>
      </c>
      <c r="C80" s="55"/>
      <c r="D80" s="55"/>
      <c r="E80" s="67"/>
      <c r="F80" s="67"/>
      <c r="G80" s="69">
        <f>SUM(B80:F80)</f>
        <v>2663.52</v>
      </c>
      <c r="H80" s="56">
        <v>228.62</v>
      </c>
      <c r="I80" s="56">
        <v>39.82</v>
      </c>
      <c r="J80" s="56">
        <f>26.64+62.15+2.08</f>
        <v>90.86999999999999</v>
      </c>
      <c r="K80" s="56">
        <f>H80+I80+J80</f>
        <v>359.31</v>
      </c>
      <c r="L80" s="56">
        <f>G80-K80</f>
        <v>2304.21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132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133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x14ac:dyDescent="0.25">
      <c r="A83" s="6">
        <v>43325</v>
      </c>
      <c r="B83" s="55">
        <v>1804.97</v>
      </c>
      <c r="C83" s="55">
        <v>1899.97</v>
      </c>
      <c r="D83" s="55"/>
      <c r="E83" s="67">
        <v>812.24</v>
      </c>
      <c r="F83" s="68"/>
      <c r="G83" s="69">
        <f>SUM(B83:F83)</f>
        <v>4517.18</v>
      </c>
      <c r="H83" s="56">
        <f>290.43+145.21</f>
        <v>435.64</v>
      </c>
      <c r="I83" s="56"/>
      <c r="J83" s="56">
        <f>28.5+62.15+1.56+26.71</f>
        <v>118.92000000000002</v>
      </c>
      <c r="K83" s="56">
        <f>H83+I83+J83</f>
        <v>554.55999999999995</v>
      </c>
      <c r="L83" s="56">
        <f>G83-K83</f>
        <v>3962.6200000000003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28" t="s">
        <v>134</v>
      </c>
      <c r="B84" s="232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8" t="s">
        <v>135</v>
      </c>
      <c r="B85" s="12"/>
      <c r="C85" s="12"/>
      <c r="D85" s="12"/>
      <c r="E85" s="12"/>
      <c r="F85" s="12"/>
      <c r="G85" s="23"/>
      <c r="H85" s="23"/>
      <c r="I85" s="23"/>
      <c r="J85" s="23"/>
      <c r="K85" s="23"/>
      <c r="L85" s="23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5" t="s">
        <v>136</v>
      </c>
      <c r="B86" s="57"/>
      <c r="C86" s="57"/>
      <c r="D86" s="57"/>
      <c r="E86" s="70"/>
      <c r="F86" s="70"/>
      <c r="G86" s="66"/>
      <c r="H86" s="54"/>
      <c r="I86" s="54"/>
      <c r="J86" s="54"/>
      <c r="K86" s="54"/>
      <c r="L86" s="54"/>
      <c r="M86" s="52"/>
      <c r="N86" s="1"/>
      <c r="O86" s="1"/>
      <c r="P86" s="3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5" customHeight="1" x14ac:dyDescent="0.25">
      <c r="A87" s="6">
        <v>43675</v>
      </c>
      <c r="B87" s="55">
        <v>2374.9699999999998</v>
      </c>
      <c r="C87" s="55">
        <f>633.32</f>
        <v>633.32000000000005</v>
      </c>
      <c r="D87" s="55"/>
      <c r="E87" s="67"/>
      <c r="F87" s="68">
        <v>1424.98</v>
      </c>
      <c r="G87" s="69">
        <f>SUM(B87:F87)</f>
        <v>4433.2700000000004</v>
      </c>
      <c r="H87" s="56">
        <f>222.5+47.49</f>
        <v>269.99</v>
      </c>
      <c r="I87" s="56">
        <v>18.64</v>
      </c>
      <c r="J87" s="56">
        <f>62.15+1.17+101.47</f>
        <v>164.79</v>
      </c>
      <c r="K87" s="56">
        <f>H87+I87+J87</f>
        <v>453.41999999999996</v>
      </c>
      <c r="L87" s="56">
        <f>G87-K87</f>
        <v>3979.8500000000004</v>
      </c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28" t="s">
        <v>137</v>
      </c>
      <c r="B88" s="232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8" t="s">
        <v>138</v>
      </c>
      <c r="B89" s="12"/>
      <c r="C89" s="12"/>
      <c r="D89" s="12"/>
      <c r="E89" s="12"/>
      <c r="F89" s="12"/>
      <c r="G89" s="23"/>
      <c r="H89" s="23"/>
      <c r="I89" s="23"/>
      <c r="J89" s="23"/>
      <c r="K89" s="23"/>
      <c r="L89" s="2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5" t="s">
        <v>131</v>
      </c>
      <c r="B90" s="57"/>
      <c r="C90" s="57"/>
      <c r="D90" s="57"/>
      <c r="E90" s="70"/>
      <c r="F90" s="70"/>
      <c r="G90" s="66"/>
      <c r="H90" s="54"/>
      <c r="I90" s="54"/>
      <c r="J90" s="54"/>
      <c r="K90" s="54"/>
      <c r="L90" s="54"/>
      <c r="M90" s="52"/>
      <c r="N90" s="1"/>
      <c r="O90" s="1"/>
      <c r="P90" s="3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5" customHeight="1" x14ac:dyDescent="0.25">
      <c r="A91" s="6">
        <v>44516</v>
      </c>
      <c r="B91" s="55">
        <v>2663.52</v>
      </c>
      <c r="C91" s="55"/>
      <c r="D91" s="55"/>
      <c r="E91" s="67"/>
      <c r="F91" s="68"/>
      <c r="G91" s="69">
        <f>SUM(B91:F91)</f>
        <v>2663.52</v>
      </c>
      <c r="H91" s="56">
        <v>228.62</v>
      </c>
      <c r="I91" s="56">
        <v>25.6</v>
      </c>
      <c r="J91" s="56">
        <f>62.15+2.6</f>
        <v>64.75</v>
      </c>
      <c r="K91" s="56">
        <f>H91+I91+J91</f>
        <v>318.97000000000003</v>
      </c>
      <c r="L91" s="56">
        <f>G91-K91</f>
        <v>2344.5500000000002</v>
      </c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158</v>
      </c>
      <c r="B92" s="12"/>
      <c r="C92" s="12"/>
      <c r="D92" s="12"/>
      <c r="E92" s="12"/>
      <c r="F92" s="12"/>
      <c r="G92" s="23"/>
      <c r="H92" s="23"/>
      <c r="I92" s="23"/>
      <c r="J92" s="23"/>
      <c r="K92" s="23"/>
      <c r="L92" s="23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5" t="s">
        <v>131</v>
      </c>
      <c r="B93" s="57"/>
      <c r="C93" s="57"/>
      <c r="D93" s="57"/>
      <c r="E93" s="70"/>
      <c r="F93" s="70"/>
      <c r="G93" s="66"/>
      <c r="H93" s="54"/>
      <c r="I93" s="54"/>
      <c r="J93" s="54"/>
      <c r="K93" s="54"/>
      <c r="L93" s="54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6">
        <v>44739</v>
      </c>
      <c r="B94" s="55">
        <v>355.14</v>
      </c>
      <c r="C94" s="55"/>
      <c r="D94" s="55"/>
      <c r="E94" s="67"/>
      <c r="F94" s="68"/>
      <c r="G94" s="69">
        <f>SUM(B94:F94)</f>
        <v>355.14</v>
      </c>
      <c r="H94" s="56">
        <v>26.63</v>
      </c>
      <c r="I94" s="56"/>
      <c r="J94" s="56"/>
      <c r="K94" s="56">
        <f>SUM(H94:J94)</f>
        <v>26.63</v>
      </c>
      <c r="L94" s="56">
        <f>G94-K94</f>
        <v>328.51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28" t="s">
        <v>141</v>
      </c>
      <c r="B95" s="232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6">
        <v>44249</v>
      </c>
      <c r="B98" s="55">
        <v>2663.52</v>
      </c>
      <c r="C98" s="55"/>
      <c r="D98" s="55"/>
      <c r="E98" s="67"/>
      <c r="F98" s="68"/>
      <c r="G98" s="69">
        <f>SUM(B98:F98)</f>
        <v>2663.52</v>
      </c>
      <c r="H98" s="56">
        <v>228.62</v>
      </c>
      <c r="I98" s="56">
        <v>39.82</v>
      </c>
      <c r="J98" s="56">
        <f>62.15+1.95</f>
        <v>64.099999999999994</v>
      </c>
      <c r="K98" s="56">
        <f>H98+I98+J98</f>
        <v>332.53999999999996</v>
      </c>
      <c r="L98" s="56">
        <f>G98-K98</f>
        <v>2330.98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28" t="s">
        <v>147</v>
      </c>
      <c r="B99" s="232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0" t="s">
        <v>90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88" t="s">
        <v>157</v>
      </c>
      <c r="B105" s="89">
        <v>2022</v>
      </c>
      <c r="C105" s="90"/>
      <c r="D105" s="248" t="s">
        <v>53</v>
      </c>
      <c r="E105" s="248"/>
      <c r="F105" s="248"/>
      <c r="G105" s="248"/>
      <c r="H105" s="248"/>
      <c r="I105" s="90"/>
      <c r="J105" s="90"/>
      <c r="K105" s="90"/>
      <c r="L105" s="90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91" t="s">
        <v>2</v>
      </c>
      <c r="B106" s="231" t="s">
        <v>3</v>
      </c>
      <c r="C106" s="231" t="s">
        <v>92</v>
      </c>
      <c r="D106" s="227" t="s">
        <v>93</v>
      </c>
      <c r="E106" s="242" t="s">
        <v>8</v>
      </c>
      <c r="F106" s="245" t="s">
        <v>94</v>
      </c>
      <c r="G106" s="245" t="s">
        <v>9</v>
      </c>
      <c r="H106" s="231" t="s">
        <v>11</v>
      </c>
      <c r="I106" s="231" t="s">
        <v>95</v>
      </c>
      <c r="J106" s="227" t="s">
        <v>12</v>
      </c>
      <c r="K106" s="227" t="s">
        <v>13</v>
      </c>
      <c r="L106" s="227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90" t="s">
        <v>15</v>
      </c>
      <c r="B107" s="228"/>
      <c r="C107" s="228"/>
      <c r="D107" s="228"/>
      <c r="E107" s="243"/>
      <c r="F107" s="228"/>
      <c r="G107" s="228"/>
      <c r="H107" s="228"/>
      <c r="I107" s="228"/>
      <c r="J107" s="228"/>
      <c r="K107" s="228"/>
      <c r="L107" s="228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92" t="s">
        <v>16</v>
      </c>
      <c r="B108" s="229"/>
      <c r="C108" s="229"/>
      <c r="D108" s="229"/>
      <c r="E108" s="244"/>
      <c r="F108" s="229"/>
      <c r="G108" s="229"/>
      <c r="H108" s="229"/>
      <c r="I108" s="229"/>
      <c r="J108" s="229"/>
      <c r="K108" s="229"/>
      <c r="L108" s="229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140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C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2663.52+82.24+16.45</f>
        <v>2762.2099999999996</v>
      </c>
      <c r="C111" s="55">
        <f>1335.88+887.84+741.24</f>
        <v>2964.96</v>
      </c>
      <c r="D111" s="55"/>
      <c r="E111" s="67"/>
      <c r="F111" s="68">
        <v>1335.88</v>
      </c>
      <c r="G111" s="69">
        <f>SUM(B111:F111)</f>
        <v>7063.05</v>
      </c>
      <c r="H111" s="56">
        <f>102.04+240.46</f>
        <v>342.5</v>
      </c>
      <c r="I111" s="56">
        <v>17.89</v>
      </c>
      <c r="J111" s="56">
        <f>1305.15+26.71+265.4+157.95</f>
        <v>1755.2100000000003</v>
      </c>
      <c r="K111" s="56">
        <f>H111+I111+J111</f>
        <v>2115.6000000000004</v>
      </c>
      <c r="L111" s="56">
        <f>G111-K111</f>
        <v>4947.45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45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1:L63"/>
    <mergeCell ref="K3:K5"/>
    <mergeCell ref="L3:L5"/>
    <mergeCell ref="B6:L6"/>
    <mergeCell ref="B45:L45"/>
    <mergeCell ref="A59:L59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B64:L64"/>
    <mergeCell ref="B77:L77"/>
    <mergeCell ref="B84:L84"/>
    <mergeCell ref="B88:L88"/>
    <mergeCell ref="B95:L95"/>
    <mergeCell ref="J106:J108"/>
    <mergeCell ref="K106:K108"/>
    <mergeCell ref="L106:L108"/>
    <mergeCell ref="D105:H105"/>
    <mergeCell ref="B99:L99"/>
    <mergeCell ref="A103:L103"/>
    <mergeCell ref="B106:B108"/>
    <mergeCell ref="C106:C108"/>
    <mergeCell ref="D106:D108"/>
    <mergeCell ref="E106:E108"/>
    <mergeCell ref="F106:F108"/>
    <mergeCell ref="G106:G108"/>
    <mergeCell ref="H106:H108"/>
    <mergeCell ref="I106:I108"/>
  </mergeCells>
  <printOptions horizontalCentered="1"/>
  <pageMargins left="0.31496062992125984" right="0.31496062992125984" top="0.39370078740157483" bottom="0.39370078740157483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1030"/>
  <sheetViews>
    <sheetView zoomScaleNormal="100" workbookViewId="0"/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3.375" customWidth="1"/>
    <col min="13" max="13" width="10.125" customWidth="1"/>
    <col min="14" max="14" width="9.875" customWidth="1"/>
    <col min="15" max="15" width="12.25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09" t="s">
        <v>57</v>
      </c>
      <c r="B2" s="110">
        <v>2022</v>
      </c>
      <c r="C2" s="104"/>
      <c r="D2" s="104"/>
      <c r="E2" s="105"/>
      <c r="F2" s="105"/>
      <c r="G2" s="105"/>
      <c r="H2" s="104"/>
      <c r="I2" s="104"/>
      <c r="J2" s="104"/>
      <c r="K2" s="104"/>
      <c r="L2" s="104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06" t="s">
        <v>2</v>
      </c>
      <c r="B3" s="254" t="s">
        <v>3</v>
      </c>
      <c r="C3" s="254" t="s">
        <v>92</v>
      </c>
      <c r="D3" s="249" t="s">
        <v>93</v>
      </c>
      <c r="E3" s="255" t="s">
        <v>8</v>
      </c>
      <c r="F3" s="257" t="s">
        <v>94</v>
      </c>
      <c r="G3" s="257" t="s">
        <v>9</v>
      </c>
      <c r="H3" s="254" t="s">
        <v>11</v>
      </c>
      <c r="I3" s="254" t="s">
        <v>95</v>
      </c>
      <c r="J3" s="249" t="s">
        <v>12</v>
      </c>
      <c r="K3" s="249" t="s">
        <v>13</v>
      </c>
      <c r="L3" s="252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07" t="s">
        <v>15</v>
      </c>
      <c r="B4" s="250"/>
      <c r="C4" s="250"/>
      <c r="D4" s="250"/>
      <c r="E4" s="255"/>
      <c r="F4" s="250"/>
      <c r="G4" s="250"/>
      <c r="H4" s="250"/>
      <c r="I4" s="250"/>
      <c r="J4" s="250"/>
      <c r="K4" s="250"/>
      <c r="L4" s="24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08" t="s">
        <v>16</v>
      </c>
      <c r="B5" s="251"/>
      <c r="C5" s="251"/>
      <c r="D5" s="251"/>
      <c r="E5" s="256"/>
      <c r="F5" s="251"/>
      <c r="G5" s="251"/>
      <c r="H5" s="251"/>
      <c r="I5" s="251"/>
      <c r="J5" s="251"/>
      <c r="K5" s="251"/>
      <c r="L5" s="253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3568.82</v>
      </c>
      <c r="C12" s="55"/>
      <c r="D12" s="55">
        <v>71.37</v>
      </c>
      <c r="E12" s="67"/>
      <c r="F12" s="68"/>
      <c r="G12" s="69">
        <f>SUM(B12:F12)</f>
        <v>3640.19</v>
      </c>
      <c r="H12" s="56">
        <v>394.1</v>
      </c>
      <c r="I12" s="56">
        <v>132.11000000000001</v>
      </c>
      <c r="J12" s="56">
        <f>62.15+2.34+126.81</f>
        <v>191.3</v>
      </c>
      <c r="K12" s="56">
        <f>H12+I12+J12</f>
        <v>717.51</v>
      </c>
      <c r="L12" s="56">
        <f>G12-K12</f>
        <v>2922.6800000000003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62.15+2.21+80.13</f>
        <v>144.49</v>
      </c>
      <c r="K15" s="56">
        <f>H15+I15+J15</f>
        <v>2471.1400000000003</v>
      </c>
      <c r="L15" s="56">
        <f>G15-K15</f>
        <v>7345.9999999999991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62.15+2.47+384.11</f>
        <v>448.73</v>
      </c>
      <c r="K18" s="56">
        <f>H18+I18+J18</f>
        <v>890.03</v>
      </c>
      <c r="L18" s="56">
        <f>G18-K18</f>
        <v>2688.91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62.15+2.34+168.72+26.71</f>
        <v>259.91999999999996</v>
      </c>
      <c r="K21" s="56">
        <f>SUM(H21:J21)</f>
        <v>403.52</v>
      </c>
      <c r="L21" s="56">
        <f>G21-K21</f>
        <v>1394.06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62.15+2.47</f>
        <v>64.62</v>
      </c>
      <c r="K24" s="56">
        <f>SUM(H24:J24)</f>
        <v>618.13</v>
      </c>
      <c r="L24" s="56">
        <f>G24-K24</f>
        <v>3381.87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62.15+2.34+554.28+53.42</f>
        <v>672.18999999999994</v>
      </c>
      <c r="K27" s="56">
        <f>SUM(H27:J27)</f>
        <v>1208.26</v>
      </c>
      <c r="L27" s="56">
        <f>G27-K27</f>
        <v>2621.1999999999998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62.15+2.34+178.06+80.13</f>
        <v>322.68</v>
      </c>
      <c r="K33" s="56">
        <f>SUM(H33:J33)</f>
        <v>792.42000000000007</v>
      </c>
      <c r="L33" s="56">
        <f>G33-K33</f>
        <v>2786.52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6">
        <v>154.91999999999999</v>
      </c>
      <c r="I39" s="56"/>
      <c r="J39" s="56">
        <f>19.23+62.15+2.6+755.73</f>
        <v>839.71</v>
      </c>
      <c r="K39" s="56">
        <f>H39+I39+J39</f>
        <v>994.63</v>
      </c>
      <c r="L39" s="56">
        <f>G39-K39</f>
        <v>1890.4899999999998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>
        <v>961.71</v>
      </c>
      <c r="G42" s="69">
        <f>SUM(B42:F42)</f>
        <v>2885.12</v>
      </c>
      <c r="H42" s="56">
        <v>154.91999999999999</v>
      </c>
      <c r="I42" s="56"/>
      <c r="J42" s="56">
        <f>19.23+62.15+2.6+677.57</f>
        <v>761.55000000000007</v>
      </c>
      <c r="K42" s="56">
        <f>H42+I42+J42</f>
        <v>916.47</v>
      </c>
      <c r="L42" s="56">
        <f>G42-K42</f>
        <v>1968.6499999999999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8" t="s">
        <v>118</v>
      </c>
      <c r="B43" s="83"/>
      <c r="C43" s="83"/>
      <c r="D43" s="83"/>
      <c r="E43" s="73"/>
      <c r="F43" s="103"/>
      <c r="G43" s="73"/>
      <c r="H43" s="83"/>
      <c r="I43" s="83"/>
      <c r="J43" s="83"/>
      <c r="K43" s="83"/>
      <c r="L43" s="83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x14ac:dyDescent="0.25">
      <c r="A46" s="230" t="s">
        <v>159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Bot="1" x14ac:dyDescent="0.3">
      <c r="A47" s="109" t="s">
        <v>57</v>
      </c>
      <c r="B47" s="110">
        <v>2022</v>
      </c>
      <c r="C47" s="111"/>
      <c r="D47" s="111"/>
      <c r="E47" s="112"/>
      <c r="F47" s="112"/>
      <c r="G47" s="112"/>
      <c r="H47" s="111"/>
      <c r="I47" s="111"/>
      <c r="J47" s="111"/>
      <c r="K47" s="111"/>
      <c r="L47" s="111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06" t="s">
        <v>2</v>
      </c>
      <c r="B48" s="254" t="s">
        <v>3</v>
      </c>
      <c r="C48" s="254" t="s">
        <v>92</v>
      </c>
      <c r="D48" s="249" t="s">
        <v>93</v>
      </c>
      <c r="E48" s="255" t="s">
        <v>8</v>
      </c>
      <c r="F48" s="257" t="s">
        <v>94</v>
      </c>
      <c r="G48" s="257" t="s">
        <v>9</v>
      </c>
      <c r="H48" s="254" t="s">
        <v>11</v>
      </c>
      <c r="I48" s="254" t="s">
        <v>95</v>
      </c>
      <c r="J48" s="249" t="s">
        <v>12</v>
      </c>
      <c r="K48" s="249" t="s">
        <v>13</v>
      </c>
      <c r="L48" s="249" t="s">
        <v>14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07" t="s">
        <v>15</v>
      </c>
      <c r="B49" s="250"/>
      <c r="C49" s="250"/>
      <c r="D49" s="250"/>
      <c r="E49" s="255"/>
      <c r="F49" s="250"/>
      <c r="G49" s="250"/>
      <c r="H49" s="250"/>
      <c r="I49" s="250"/>
      <c r="J49" s="250"/>
      <c r="K49" s="250"/>
      <c r="L49" s="250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Bot="1" x14ac:dyDescent="0.3">
      <c r="A50" s="108" t="s">
        <v>16</v>
      </c>
      <c r="B50" s="251"/>
      <c r="C50" s="251"/>
      <c r="D50" s="251"/>
      <c r="E50" s="256"/>
      <c r="F50" s="251"/>
      <c r="G50" s="251"/>
      <c r="H50" s="251"/>
      <c r="I50" s="251"/>
      <c r="J50" s="251"/>
      <c r="K50" s="251"/>
      <c r="L50" s="251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Top="1" thickBot="1" x14ac:dyDescent="0.3">
      <c r="A51" s="28" t="s">
        <v>120</v>
      </c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x14ac:dyDescent="0.25">
      <c r="A52" s="8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122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38054</v>
      </c>
      <c r="B54" s="55">
        <v>2886.52</v>
      </c>
      <c r="C54" s="55"/>
      <c r="D54" s="55">
        <v>57.73</v>
      </c>
      <c r="E54" s="67">
        <v>1298.94</v>
      </c>
      <c r="F54" s="67"/>
      <c r="G54" s="69">
        <f>SUM(B54:F54)</f>
        <v>4243.1900000000005</v>
      </c>
      <c r="H54" s="56">
        <v>430.22</v>
      </c>
      <c r="I54" s="56">
        <v>221.79</v>
      </c>
      <c r="J54" s="56">
        <f>62.15+2.6+126.81</f>
        <v>191.56</v>
      </c>
      <c r="K54" s="56">
        <f>H54+I54+J54</f>
        <v>843.56999999999994</v>
      </c>
      <c r="L54" s="56">
        <f>G54-K54</f>
        <v>3399.6200000000008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8" t="s">
        <v>123</v>
      </c>
      <c r="B55" s="58"/>
      <c r="C55" s="58"/>
      <c r="D55" s="58"/>
      <c r="E55" s="71"/>
      <c r="F55" s="71"/>
      <c r="G55" s="73"/>
      <c r="H55" s="83"/>
      <c r="I55" s="83"/>
      <c r="J55" s="83"/>
      <c r="K55" s="83"/>
      <c r="L55" s="8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53" t="s">
        <v>108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0">
        <v>44319</v>
      </c>
      <c r="B57" s="55">
        <v>1797.58</v>
      </c>
      <c r="C57" s="55"/>
      <c r="D57" s="55"/>
      <c r="E57" s="67"/>
      <c r="F57" s="67"/>
      <c r="G57" s="69">
        <f>SUM(B57:F57)</f>
        <v>1797.58</v>
      </c>
      <c r="H57" s="56">
        <v>137.29</v>
      </c>
      <c r="I57" s="56"/>
      <c r="J57" s="56">
        <f>62.15+2.6+70.11+194.44</f>
        <v>329.3</v>
      </c>
      <c r="K57" s="56">
        <f>H57+I57+J57</f>
        <v>466.59000000000003</v>
      </c>
      <c r="L57" s="56">
        <f>G57-K57</f>
        <v>1330.9899999999998</v>
      </c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8" t="s">
        <v>124</v>
      </c>
      <c r="B58" s="58"/>
      <c r="C58" s="58"/>
      <c r="D58" s="58"/>
      <c r="E58" s="71"/>
      <c r="F58" s="71"/>
      <c r="G58" s="73"/>
      <c r="H58" s="83"/>
      <c r="I58" s="83"/>
      <c r="J58" s="83"/>
      <c r="K58" s="83"/>
      <c r="L58" s="83"/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53" t="s">
        <v>116</v>
      </c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thickBot="1" x14ac:dyDescent="0.3">
      <c r="A60" s="50">
        <v>43845</v>
      </c>
      <c r="B60" s="55">
        <v>1923.41</v>
      </c>
      <c r="C60" s="55"/>
      <c r="D60" s="55"/>
      <c r="E60" s="67"/>
      <c r="F60" s="67"/>
      <c r="G60" s="69">
        <f>SUM(B60:F60)</f>
        <v>1923.41</v>
      </c>
      <c r="H60" s="56">
        <v>154.91999999999999</v>
      </c>
      <c r="I60" s="56"/>
      <c r="J60" s="56">
        <f>19.23+62.15+2.6+230.35</f>
        <v>314.33</v>
      </c>
      <c r="K60" s="56">
        <f>H60+I60+J60</f>
        <v>469.25</v>
      </c>
      <c r="L60" s="56">
        <f>G60-K60</f>
        <v>1454.16</v>
      </c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Top="1" x14ac:dyDescent="0.25">
      <c r="A61" s="8" t="s">
        <v>125</v>
      </c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53" t="s">
        <v>126</v>
      </c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50">
        <v>39783</v>
      </c>
      <c r="B63" s="55">
        <v>2886.52</v>
      </c>
      <c r="C63" s="55"/>
      <c r="D63" s="55">
        <v>57.73</v>
      </c>
      <c r="E63" s="67">
        <v>1298.93</v>
      </c>
      <c r="F63" s="67"/>
      <c r="G63" s="69">
        <f>SUM(B63:F63)</f>
        <v>4243.18</v>
      </c>
      <c r="H63" s="56">
        <v>430.22</v>
      </c>
      <c r="I63" s="56">
        <v>221.79</v>
      </c>
      <c r="J63" s="56">
        <f>62.15+1.69+489.1+80.13</f>
        <v>633.07000000000005</v>
      </c>
      <c r="K63" s="56">
        <f>H63+I63+J63</f>
        <v>1285.08</v>
      </c>
      <c r="L63" s="56">
        <f>G63-K63</f>
        <v>2958.1000000000004</v>
      </c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3" t="s">
        <v>127</v>
      </c>
      <c r="B64" s="57"/>
      <c r="C64" s="60"/>
      <c r="D64" s="60"/>
      <c r="E64" s="76"/>
      <c r="F64" s="77"/>
      <c r="G64" s="78"/>
      <c r="H64" s="61"/>
      <c r="I64" s="61"/>
      <c r="J64" s="61"/>
      <c r="K64" s="61"/>
      <c r="L64" s="61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5" t="s">
        <v>116</v>
      </c>
      <c r="B65" s="57"/>
      <c r="C65" s="60"/>
      <c r="D65" s="60"/>
      <c r="E65" s="76"/>
      <c r="F65" s="77"/>
      <c r="G65" s="78"/>
      <c r="H65" s="61"/>
      <c r="I65" s="61"/>
      <c r="J65" s="61"/>
      <c r="K65" s="61"/>
      <c r="L65" s="6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0">
        <v>43325</v>
      </c>
      <c r="B66" s="55">
        <v>1923.41</v>
      </c>
      <c r="C66" s="55"/>
      <c r="D66" s="55"/>
      <c r="E66" s="67"/>
      <c r="F66" s="67"/>
      <c r="G66" s="69">
        <f>SUM(B66:F66)</f>
        <v>1923.41</v>
      </c>
      <c r="H66" s="56">
        <v>154.91999999999999</v>
      </c>
      <c r="I66" s="56"/>
      <c r="J66" s="56">
        <f>62.15+2.6+66.85+26.71</f>
        <v>158.31</v>
      </c>
      <c r="K66" s="56">
        <f>H66+I66+J66</f>
        <v>313.23</v>
      </c>
      <c r="L66" s="56">
        <f>G66-K66</f>
        <v>1610.18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3" t="s">
        <v>155</v>
      </c>
      <c r="B67" s="57"/>
      <c r="C67" s="60"/>
      <c r="D67" s="60"/>
      <c r="E67" s="76"/>
      <c r="F67" s="77"/>
      <c r="G67" s="78"/>
      <c r="H67" s="61"/>
      <c r="I67" s="61"/>
      <c r="J67" s="61"/>
      <c r="K67" s="61"/>
      <c r="L67" s="6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5" t="s">
        <v>156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0">
        <v>44686</v>
      </c>
      <c r="B69" s="55">
        <v>1797.58</v>
      </c>
      <c r="C69" s="55"/>
      <c r="D69" s="55"/>
      <c r="E69" s="67"/>
      <c r="F69" s="67"/>
      <c r="G69" s="69">
        <f>SUM(B69:F69)</f>
        <v>1797.58</v>
      </c>
      <c r="H69" s="56">
        <v>143.6</v>
      </c>
      <c r="I69" s="56"/>
      <c r="J69" s="56">
        <f>62.15+2.6</f>
        <v>64.75</v>
      </c>
      <c r="K69" s="56">
        <f>H69+I69+J69</f>
        <v>208.35</v>
      </c>
      <c r="L69" s="56">
        <f>G69-K69</f>
        <v>1589.23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128</v>
      </c>
      <c r="B70" s="57"/>
      <c r="C70" s="57"/>
      <c r="D70" s="57"/>
      <c r="E70" s="70"/>
      <c r="F70" s="70"/>
      <c r="G70" s="66"/>
      <c r="H70" s="54"/>
      <c r="I70" s="54"/>
      <c r="J70" s="54"/>
      <c r="K70" s="54"/>
      <c r="L70" s="54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0" t="s">
        <v>116</v>
      </c>
      <c r="B71" s="57"/>
      <c r="C71" s="57"/>
      <c r="D71" s="57"/>
      <c r="E71" s="70"/>
      <c r="F71" s="70"/>
      <c r="G71" s="66"/>
      <c r="H71" s="54"/>
      <c r="I71" s="54"/>
      <c r="J71" s="54"/>
      <c r="K71" s="54"/>
      <c r="L71" s="54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6">
        <v>43325</v>
      </c>
      <c r="B72" s="55">
        <v>1923.41</v>
      </c>
      <c r="C72" s="55"/>
      <c r="D72" s="55"/>
      <c r="E72" s="67">
        <v>865.53</v>
      </c>
      <c r="F72" s="68"/>
      <c r="G72" s="69">
        <f>SUM(B72:F72)</f>
        <v>2788.94</v>
      </c>
      <c r="H72" s="56">
        <v>243.67</v>
      </c>
      <c r="I72" s="56">
        <v>48.1</v>
      </c>
      <c r="J72" s="56">
        <f>19.23+62.15+2.47+351.53</f>
        <v>435.38</v>
      </c>
      <c r="K72" s="56">
        <f>H72+I72+J72</f>
        <v>727.15</v>
      </c>
      <c r="L72" s="56">
        <f>G72-K72</f>
        <v>2061.79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28" t="s">
        <v>129</v>
      </c>
      <c r="B73" s="232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3" t="s">
        <v>130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5" t="s">
        <v>131</v>
      </c>
      <c r="B75" s="57"/>
      <c r="C75" s="60"/>
      <c r="D75" s="60"/>
      <c r="E75" s="76"/>
      <c r="F75" s="77"/>
      <c r="G75" s="78"/>
      <c r="H75" s="61"/>
      <c r="I75" s="61"/>
      <c r="J75" s="61"/>
      <c r="K75" s="61"/>
      <c r="L75" s="6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50">
        <v>44509</v>
      </c>
      <c r="B76" s="55">
        <v>2663.52</v>
      </c>
      <c r="C76" s="55"/>
      <c r="D76" s="55"/>
      <c r="E76" s="67"/>
      <c r="F76" s="67"/>
      <c r="G76" s="69">
        <f>SUM(B76:F76)</f>
        <v>2663.52</v>
      </c>
      <c r="H76" s="56">
        <v>228.62</v>
      </c>
      <c r="I76" s="56">
        <v>39.82</v>
      </c>
      <c r="J76" s="56">
        <f>26.64+62.15+2.47</f>
        <v>91.259999999999991</v>
      </c>
      <c r="K76" s="56">
        <f>H76+I76+J76</f>
        <v>359.7</v>
      </c>
      <c r="L76" s="56">
        <f>G76-K76</f>
        <v>2303.8200000000002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8" t="s">
        <v>132</v>
      </c>
      <c r="B77" s="12"/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133</v>
      </c>
      <c r="B78" s="57"/>
      <c r="C78" s="57"/>
      <c r="D78" s="57"/>
      <c r="E78" s="70"/>
      <c r="F78" s="70"/>
      <c r="G78" s="66"/>
      <c r="H78" s="54"/>
      <c r="I78" s="54"/>
      <c r="J78" s="54"/>
      <c r="K78" s="54"/>
      <c r="L78" s="54"/>
      <c r="M78" s="52"/>
      <c r="N78" s="1"/>
      <c r="O78" s="1"/>
      <c r="P78" s="3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6">
        <v>43325</v>
      </c>
      <c r="B79" s="55">
        <v>2482.2199999999998</v>
      </c>
      <c r="C79" s="55">
        <v>788.32</v>
      </c>
      <c r="D79" s="55"/>
      <c r="E79" s="67">
        <v>1117</v>
      </c>
      <c r="F79" s="68"/>
      <c r="G79" s="69">
        <f>SUM(B79:F79)</f>
        <v>4387.54</v>
      </c>
      <c r="H79" s="56">
        <v>483.36</v>
      </c>
      <c r="I79" s="56">
        <v>173.95</v>
      </c>
      <c r="J79" s="56">
        <f>28.5+62.15+2.34+26.71</f>
        <v>119.70000000000002</v>
      </c>
      <c r="K79" s="56">
        <f>H79+I79+J79</f>
        <v>777.01</v>
      </c>
      <c r="L79" s="56">
        <f>G79-K79</f>
        <v>3610.5299999999997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28" t="s">
        <v>134</v>
      </c>
      <c r="B80" s="232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135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136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thickBot="1" x14ac:dyDescent="0.3">
      <c r="A83" s="6">
        <v>43675</v>
      </c>
      <c r="B83" s="55">
        <v>2849.96</v>
      </c>
      <c r="C83" s="55"/>
      <c r="D83" s="55"/>
      <c r="E83" s="67"/>
      <c r="F83" s="68"/>
      <c r="G83" s="69">
        <f>SUM(B83:F83)</f>
        <v>2849.96</v>
      </c>
      <c r="H83" s="56">
        <v>250.99</v>
      </c>
      <c r="I83" s="56">
        <v>52.12</v>
      </c>
      <c r="J83" s="56">
        <f>62.15+2.47+101.47</f>
        <v>166.09</v>
      </c>
      <c r="K83" s="56">
        <f>H83+I83+J83</f>
        <v>469.20000000000005</v>
      </c>
      <c r="L83" s="56">
        <f>G83-K83</f>
        <v>2380.7600000000002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thickTop="1" x14ac:dyDescent="0.25">
      <c r="A84" s="230" t="s">
        <v>159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109" t="s">
        <v>57</v>
      </c>
      <c r="B85" s="110">
        <v>2022</v>
      </c>
      <c r="C85" s="111"/>
      <c r="D85" s="111"/>
      <c r="E85" s="112"/>
      <c r="F85" s="112"/>
      <c r="G85" s="112"/>
      <c r="H85" s="111"/>
      <c r="I85" s="111"/>
      <c r="J85" s="111"/>
      <c r="K85" s="111"/>
      <c r="L85" s="11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06" t="s">
        <v>2</v>
      </c>
      <c r="B86" s="254" t="s">
        <v>3</v>
      </c>
      <c r="C86" s="254" t="s">
        <v>92</v>
      </c>
      <c r="D86" s="249" t="s">
        <v>93</v>
      </c>
      <c r="E86" s="255" t="s">
        <v>8</v>
      </c>
      <c r="F86" s="257" t="s">
        <v>94</v>
      </c>
      <c r="G86" s="257" t="s">
        <v>9</v>
      </c>
      <c r="H86" s="254" t="s">
        <v>11</v>
      </c>
      <c r="I86" s="254" t="s">
        <v>95</v>
      </c>
      <c r="J86" s="249" t="s">
        <v>12</v>
      </c>
      <c r="K86" s="249" t="s">
        <v>13</v>
      </c>
      <c r="L86" s="249" t="s">
        <v>14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07" t="s">
        <v>15</v>
      </c>
      <c r="B87" s="250"/>
      <c r="C87" s="250"/>
      <c r="D87" s="250"/>
      <c r="E87" s="255"/>
      <c r="F87" s="250"/>
      <c r="G87" s="250"/>
      <c r="H87" s="250"/>
      <c r="I87" s="250"/>
      <c r="J87" s="250"/>
      <c r="K87" s="250"/>
      <c r="L87" s="250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thickBot="1" x14ac:dyDescent="0.3">
      <c r="A88" s="108" t="s">
        <v>16</v>
      </c>
      <c r="B88" s="251"/>
      <c r="C88" s="251"/>
      <c r="D88" s="251"/>
      <c r="E88" s="256"/>
      <c r="F88" s="251"/>
      <c r="G88" s="251"/>
      <c r="H88" s="251"/>
      <c r="I88" s="251"/>
      <c r="J88" s="251"/>
      <c r="K88" s="251"/>
      <c r="L88" s="251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137</v>
      </c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138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131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x14ac:dyDescent="0.25">
      <c r="A92" s="6">
        <v>44516</v>
      </c>
      <c r="B92" s="55">
        <v>2663.52</v>
      </c>
      <c r="C92" s="55"/>
      <c r="D92" s="55"/>
      <c r="E92" s="67"/>
      <c r="F92" s="68"/>
      <c r="G92" s="69">
        <f>SUM(B92:F92)</f>
        <v>2663.52</v>
      </c>
      <c r="H92" s="56">
        <v>228.62</v>
      </c>
      <c r="I92" s="56">
        <v>25.6</v>
      </c>
      <c r="J92" s="56">
        <f>62.15+2.47</f>
        <v>64.62</v>
      </c>
      <c r="K92" s="56">
        <f>H92+I92+J92</f>
        <v>318.84000000000003</v>
      </c>
      <c r="L92" s="56">
        <f>G92-K92</f>
        <v>2344.6799999999998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8" t="s">
        <v>158</v>
      </c>
      <c r="B93" s="12"/>
      <c r="C93" s="12"/>
      <c r="D93" s="12"/>
      <c r="E93" s="12"/>
      <c r="F93" s="12"/>
      <c r="G93" s="23"/>
      <c r="H93" s="23"/>
      <c r="I93" s="23"/>
      <c r="J93" s="23"/>
      <c r="K93" s="23"/>
      <c r="L93" s="2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5" t="s">
        <v>131</v>
      </c>
      <c r="B94" s="57"/>
      <c r="C94" s="57"/>
      <c r="D94" s="57"/>
      <c r="E94" s="70"/>
      <c r="F94" s="70"/>
      <c r="G94" s="66"/>
      <c r="H94" s="54"/>
      <c r="I94" s="54"/>
      <c r="J94" s="54"/>
      <c r="K94" s="54"/>
      <c r="L94" s="54"/>
      <c r="M94" s="52"/>
      <c r="N94" s="1"/>
      <c r="O94" s="1"/>
      <c r="P94" s="3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6">
        <v>44739</v>
      </c>
      <c r="B95" s="55">
        <v>2663.52</v>
      </c>
      <c r="C95" s="55"/>
      <c r="D95" s="55"/>
      <c r="E95" s="67"/>
      <c r="F95" s="68"/>
      <c r="G95" s="69">
        <f>SUM(B95:F95)</f>
        <v>2663.52</v>
      </c>
      <c r="H95" s="56">
        <v>228.62</v>
      </c>
      <c r="I95" s="56">
        <v>25.6</v>
      </c>
      <c r="J95" s="56">
        <f>70.44+3.25</f>
        <v>73.69</v>
      </c>
      <c r="K95" s="56">
        <f>SUM(H95:J95)</f>
        <v>327.90999999999997</v>
      </c>
      <c r="L95" s="56">
        <f>G95-K95</f>
        <v>2335.61</v>
      </c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28" t="s">
        <v>141</v>
      </c>
      <c r="B96" s="232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8" t="s">
        <v>160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0" t="s">
        <v>131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6">
        <v>44767</v>
      </c>
      <c r="B99" s="55">
        <v>601.44000000000005</v>
      </c>
      <c r="C99" s="55"/>
      <c r="D99" s="55"/>
      <c r="E99" s="67"/>
      <c r="F99" s="68"/>
      <c r="G99" s="69">
        <f>SUM(B99:F99)</f>
        <v>601.44000000000005</v>
      </c>
      <c r="H99" s="56">
        <v>45.1</v>
      </c>
      <c r="I99" s="56"/>
      <c r="J99" s="56"/>
      <c r="K99" s="56">
        <f>H99+I99+J99</f>
        <v>45.1</v>
      </c>
      <c r="L99" s="56">
        <f>G99-K99</f>
        <v>556.34</v>
      </c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11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0" t="s">
        <v>159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Bot="1" x14ac:dyDescent="0.3">
      <c r="A105" s="109" t="s">
        <v>57</v>
      </c>
      <c r="B105" s="110">
        <v>2022</v>
      </c>
      <c r="C105" s="111"/>
      <c r="D105" s="258" t="s">
        <v>53</v>
      </c>
      <c r="E105" s="258"/>
      <c r="F105" s="258"/>
      <c r="G105" s="258"/>
      <c r="H105" s="258"/>
      <c r="I105" s="111"/>
      <c r="J105" s="111"/>
      <c r="K105" s="111"/>
      <c r="L105" s="111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06" t="s">
        <v>2</v>
      </c>
      <c r="B106" s="254" t="s">
        <v>3</v>
      </c>
      <c r="C106" s="254" t="s">
        <v>92</v>
      </c>
      <c r="D106" s="249" t="s">
        <v>93</v>
      </c>
      <c r="E106" s="255" t="s">
        <v>8</v>
      </c>
      <c r="F106" s="257" t="s">
        <v>94</v>
      </c>
      <c r="G106" s="257" t="s">
        <v>9</v>
      </c>
      <c r="H106" s="254" t="s">
        <v>11</v>
      </c>
      <c r="I106" s="254" t="s">
        <v>95</v>
      </c>
      <c r="J106" s="249" t="s">
        <v>12</v>
      </c>
      <c r="K106" s="249" t="s">
        <v>13</v>
      </c>
      <c r="L106" s="249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7" t="s">
        <v>15</v>
      </c>
      <c r="B107" s="250"/>
      <c r="C107" s="250"/>
      <c r="D107" s="250"/>
      <c r="E107" s="255"/>
      <c r="F107" s="250"/>
      <c r="G107" s="250"/>
      <c r="H107" s="250"/>
      <c r="I107" s="250"/>
      <c r="J107" s="250"/>
      <c r="K107" s="250"/>
      <c r="L107" s="250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08" t="s">
        <v>16</v>
      </c>
      <c r="B108" s="251"/>
      <c r="C108" s="251"/>
      <c r="D108" s="251"/>
      <c r="E108" s="256"/>
      <c r="F108" s="251"/>
      <c r="G108" s="251"/>
      <c r="H108" s="251"/>
      <c r="I108" s="251"/>
      <c r="J108" s="251"/>
      <c r="K108" s="251"/>
      <c r="L108" s="251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142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1890.24+1.03+5.33</f>
        <v>1896.6</v>
      </c>
      <c r="C111" s="55">
        <f>518.01+295.95+887.84+1554.03</f>
        <v>3255.83</v>
      </c>
      <c r="D111" s="55"/>
      <c r="E111" s="67"/>
      <c r="F111" s="68">
        <v>1554.03</v>
      </c>
      <c r="G111" s="69">
        <f>SUM(B111:F111)</f>
        <v>6706.46</v>
      </c>
      <c r="H111" s="56">
        <f>152.51+121.68</f>
        <v>274.19</v>
      </c>
      <c r="I111" s="56">
        <v>264.32</v>
      </c>
      <c r="J111" s="56">
        <f>1183+377.05+66.95</f>
        <v>1627</v>
      </c>
      <c r="K111" s="56">
        <f>H111+I111+J111</f>
        <v>2165.5100000000002</v>
      </c>
      <c r="L111" s="56">
        <f>G111-K111</f>
        <v>4540.95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55">
    <mergeCell ref="B73:L73"/>
    <mergeCell ref="B80:L80"/>
    <mergeCell ref="H48:H50"/>
    <mergeCell ref="I48:I50"/>
    <mergeCell ref="J48:J50"/>
    <mergeCell ref="K48:K50"/>
    <mergeCell ref="L48:L50"/>
    <mergeCell ref="C48:C50"/>
    <mergeCell ref="D48:D50"/>
    <mergeCell ref="E48:E50"/>
    <mergeCell ref="F48:F50"/>
    <mergeCell ref="G48:G50"/>
    <mergeCell ref="J106:J108"/>
    <mergeCell ref="K106:K108"/>
    <mergeCell ref="L106:L108"/>
    <mergeCell ref="A103:L103"/>
    <mergeCell ref="D105:H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89:L89"/>
    <mergeCell ref="B96:L96"/>
    <mergeCell ref="A84:L84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K3:K5"/>
    <mergeCell ref="L3:L5"/>
    <mergeCell ref="B6:L6"/>
    <mergeCell ref="B51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6:L46"/>
    <mergeCell ref="B48:B50"/>
  </mergeCells>
  <printOptions horizontalCentered="1"/>
  <pageMargins left="0.31496062992125984" right="0.31496062992125984" top="0.39370078740157483" bottom="0.39370078740157483" header="0" footer="0"/>
  <pageSetup paperSize="9" scale="82" fitToHeight="0" orientation="landscape" r:id="rId1"/>
  <rowBreaks count="2" manualBreakCount="2">
    <brk id="45" max="16383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132"/>
  <sheetViews>
    <sheetView view="pageBreakPreview" topLeftCell="A49" zoomScale="60" zoomScaleNormal="100" workbookViewId="0">
      <selection activeCell="R61" sqref="R61"/>
    </sheetView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60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21" t="s">
        <v>60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61" t="s">
        <v>3</v>
      </c>
      <c r="C3" s="261" t="s">
        <v>92</v>
      </c>
      <c r="D3" s="262" t="s">
        <v>93</v>
      </c>
      <c r="E3" s="263" t="s">
        <v>8</v>
      </c>
      <c r="F3" s="265" t="s">
        <v>94</v>
      </c>
      <c r="G3" s="265" t="s">
        <v>9</v>
      </c>
      <c r="H3" s="261" t="s">
        <v>11</v>
      </c>
      <c r="I3" s="261" t="s">
        <v>95</v>
      </c>
      <c r="J3" s="262" t="s">
        <v>12</v>
      </c>
      <c r="K3" s="262" t="s">
        <v>13</v>
      </c>
      <c r="L3" s="26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50"/>
      <c r="C4" s="250"/>
      <c r="D4" s="250"/>
      <c r="E4" s="263"/>
      <c r="F4" s="250"/>
      <c r="G4" s="250"/>
      <c r="H4" s="250"/>
      <c r="I4" s="250"/>
      <c r="J4" s="250"/>
      <c r="K4" s="250"/>
      <c r="L4" s="262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1"/>
      <c r="C5" s="251"/>
      <c r="D5" s="251"/>
      <c r="E5" s="264"/>
      <c r="F5" s="251"/>
      <c r="G5" s="251"/>
      <c r="H5" s="251"/>
      <c r="I5" s="251"/>
      <c r="J5" s="251"/>
      <c r="K5" s="251"/>
      <c r="L5" s="26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59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114">
        <v>43171</v>
      </c>
      <c r="B9" s="131">
        <v>1726.11</v>
      </c>
      <c r="C9" s="131">
        <v>457.35</v>
      </c>
      <c r="D9" s="131"/>
      <c r="E9" s="132"/>
      <c r="F9" s="133"/>
      <c r="G9" s="134">
        <f>SUM(B9:F9)</f>
        <v>2183.46</v>
      </c>
      <c r="H9" s="118">
        <f>144.03+34.3</f>
        <v>178.32999999999998</v>
      </c>
      <c r="I9" s="118"/>
      <c r="J9" s="118">
        <f>62.15+2.34+127.45</f>
        <v>191.94</v>
      </c>
      <c r="K9" s="118">
        <f>SUM(H9:J9)</f>
        <v>370.27</v>
      </c>
      <c r="L9" s="118">
        <f>G9-K9</f>
        <v>1813.19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62.15+2.86+126.81</f>
        <v>191.82</v>
      </c>
      <c r="K12" s="118">
        <f>H12+I12+J12</f>
        <v>822.57999999999993</v>
      </c>
      <c r="L12" s="118">
        <f>G12-K12</f>
        <v>3356.8999999999996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62.15+2.47+88.71+523.51</f>
        <v>676.83999999999992</v>
      </c>
      <c r="K15" s="118">
        <f>H15+I15+J15</f>
        <v>3003.49</v>
      </c>
      <c r="L15" s="118">
        <f>G15-K15</f>
        <v>6813.65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62.15+2.99+505.87</f>
        <v>571.01</v>
      </c>
      <c r="K18" s="118">
        <f>H18+I18+J18</f>
        <v>1012.31</v>
      </c>
      <c r="L18" s="118">
        <f>G18-K18</f>
        <v>2566.63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43">
        <v>44207</v>
      </c>
      <c r="B21" s="118">
        <v>1072.75</v>
      </c>
      <c r="C21" s="118">
        <v>998.65</v>
      </c>
      <c r="D21" s="118"/>
      <c r="E21" s="134"/>
      <c r="F21" s="87"/>
      <c r="G21" s="134">
        <f>SUM(B21:F21)</f>
        <v>2071.4</v>
      </c>
      <c r="H21" s="118">
        <f>93.35+74.89</f>
        <v>168.24</v>
      </c>
      <c r="I21" s="144"/>
      <c r="J21" s="118">
        <f>62.15+1.82+307.09+29.57</f>
        <v>400.62999999999994</v>
      </c>
      <c r="K21" s="118">
        <f>SUM(H21:J21)</f>
        <v>568.86999999999989</v>
      </c>
      <c r="L21" s="118">
        <f>G21-K21</f>
        <v>1502.5300000000002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43">
        <v>43739</v>
      </c>
      <c r="B27" s="118">
        <v>3829.46</v>
      </c>
      <c r="C27" s="118"/>
      <c r="D27" s="118"/>
      <c r="E27" s="134"/>
      <c r="F27" s="87"/>
      <c r="G27" s="134">
        <f>SUM(B27:F27)</f>
        <v>3829.46</v>
      </c>
      <c r="H27" s="118">
        <v>372.3</v>
      </c>
      <c r="I27" s="144">
        <v>163.77000000000001</v>
      </c>
      <c r="J27" s="118">
        <f>62.15+2.99+220.93+59.14</f>
        <v>345.21</v>
      </c>
      <c r="K27" s="118">
        <f>SUM(H27:J27)</f>
        <v>881.28</v>
      </c>
      <c r="L27" s="118">
        <f>G27-K27</f>
        <v>2948.1800000000003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114">
        <v>43648</v>
      </c>
      <c r="B30" s="131">
        <v>1923.41</v>
      </c>
      <c r="C30" s="131"/>
      <c r="D30" s="131"/>
      <c r="E30" s="132"/>
      <c r="F30" s="133"/>
      <c r="G30" s="134">
        <f>SUM(B30:F30)</f>
        <v>1923.41</v>
      </c>
      <c r="H30" s="118">
        <v>154.91999999999999</v>
      </c>
      <c r="I30" s="118"/>
      <c r="J30" s="118">
        <f>62.15+2.73</f>
        <v>64.88</v>
      </c>
      <c r="K30" s="118">
        <f>SUM(H30:J30)</f>
        <v>219.79999999999998</v>
      </c>
      <c r="L30" s="118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114">
        <v>44580</v>
      </c>
      <c r="B33" s="131">
        <v>3578.94</v>
      </c>
      <c r="C33" s="131"/>
      <c r="D33" s="131"/>
      <c r="E33" s="132"/>
      <c r="F33" s="133"/>
      <c r="G33" s="134">
        <f>SUM(B33:F33)</f>
        <v>3578.94</v>
      </c>
      <c r="H33" s="118">
        <v>338.47</v>
      </c>
      <c r="I33" s="118">
        <v>131.27000000000001</v>
      </c>
      <c r="J33" s="118">
        <f>35.79+62.15+2.99+224.59+88.71</f>
        <v>414.22999999999996</v>
      </c>
      <c r="K33" s="118">
        <f>SUM(H33:J33)</f>
        <v>883.97</v>
      </c>
      <c r="L33" s="118">
        <f>G33-K33</f>
        <v>2694.9700000000003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62.15+2.86+120.51+29.57</f>
        <v>215.09</v>
      </c>
      <c r="K36" s="118">
        <f>SUM(H36:J36)</f>
        <v>382.13</v>
      </c>
      <c r="L36" s="118">
        <f>G36-K36</f>
        <v>1675.92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116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114">
        <v>43325</v>
      </c>
      <c r="B39" s="131">
        <v>2058.0500000000002</v>
      </c>
      <c r="C39" s="131"/>
      <c r="D39" s="131"/>
      <c r="E39" s="132">
        <v>149.37</v>
      </c>
      <c r="F39" s="133"/>
      <c r="G39" s="134">
        <f>SUM(B39:F39)</f>
        <v>2207.42</v>
      </c>
      <c r="H39" s="118">
        <v>180.48</v>
      </c>
      <c r="I39" s="118"/>
      <c r="J39" s="118">
        <f>20.58+62.15+2.86+66.85</f>
        <v>152.44</v>
      </c>
      <c r="K39" s="118">
        <f>H39+I39+J39</f>
        <v>332.91999999999996</v>
      </c>
      <c r="L39" s="118">
        <f>G39-K39</f>
        <v>1874.5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19.23+62.15+2.99+433.34</f>
        <v>517.70999999999992</v>
      </c>
      <c r="K42" s="118">
        <f>H42+I42+J42</f>
        <v>672.62999999999988</v>
      </c>
      <c r="L42" s="118">
        <f>G42-K42</f>
        <v>1250.7800000000002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62.15+2.99+147.85</f>
        <v>212.99</v>
      </c>
      <c r="K45" s="118">
        <f>H45+I45+J45</f>
        <v>356.59000000000003</v>
      </c>
      <c r="L45" s="118">
        <f>G45-K45</f>
        <v>1440.9899999999998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148"/>
      <c r="B46" s="141"/>
      <c r="C46" s="141"/>
      <c r="D46" s="141"/>
      <c r="E46" s="140"/>
      <c r="F46" s="147"/>
      <c r="G46" s="140"/>
      <c r="H46" s="141"/>
      <c r="I46" s="141"/>
      <c r="J46" s="141"/>
      <c r="K46" s="141"/>
      <c r="L46" s="141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260" t="s">
        <v>159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thickBot="1" x14ac:dyDescent="0.3">
      <c r="A48" s="121" t="s">
        <v>60</v>
      </c>
      <c r="B48" s="122">
        <v>2022</v>
      </c>
      <c r="C48" s="149"/>
      <c r="D48" s="149"/>
      <c r="E48" s="150"/>
      <c r="F48" s="150"/>
      <c r="G48" s="150"/>
      <c r="H48" s="149"/>
      <c r="I48" s="149"/>
      <c r="J48" s="149"/>
      <c r="K48" s="149"/>
      <c r="L48" s="149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25" t="s">
        <v>2</v>
      </c>
      <c r="B49" s="261" t="s">
        <v>3</v>
      </c>
      <c r="C49" s="261" t="s">
        <v>92</v>
      </c>
      <c r="D49" s="262" t="s">
        <v>93</v>
      </c>
      <c r="E49" s="263" t="s">
        <v>8</v>
      </c>
      <c r="F49" s="265" t="s">
        <v>94</v>
      </c>
      <c r="G49" s="265" t="s">
        <v>9</v>
      </c>
      <c r="H49" s="261" t="s">
        <v>11</v>
      </c>
      <c r="I49" s="261" t="s">
        <v>95</v>
      </c>
      <c r="J49" s="262" t="s">
        <v>12</v>
      </c>
      <c r="K49" s="262" t="s">
        <v>13</v>
      </c>
      <c r="L49" s="262" t="s">
        <v>14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26" t="s">
        <v>15</v>
      </c>
      <c r="B50" s="250"/>
      <c r="C50" s="250"/>
      <c r="D50" s="250"/>
      <c r="E50" s="263"/>
      <c r="F50" s="250"/>
      <c r="G50" s="250"/>
      <c r="H50" s="250"/>
      <c r="I50" s="250"/>
      <c r="J50" s="250"/>
      <c r="K50" s="250"/>
      <c r="L50" s="250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Bot="1" x14ac:dyDescent="0.3">
      <c r="A51" s="127" t="s">
        <v>16</v>
      </c>
      <c r="B51" s="251"/>
      <c r="C51" s="251"/>
      <c r="D51" s="251"/>
      <c r="E51" s="264"/>
      <c r="F51" s="251"/>
      <c r="G51" s="251"/>
      <c r="H51" s="251"/>
      <c r="I51" s="251"/>
      <c r="J51" s="251"/>
      <c r="K51" s="251"/>
      <c r="L51" s="251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thickBot="1" x14ac:dyDescent="0.3">
      <c r="A52" s="151" t="s">
        <v>120</v>
      </c>
      <c r="B52" s="259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116" t="s">
        <v>121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42" t="s">
        <v>122</v>
      </c>
      <c r="B54" s="137"/>
      <c r="C54" s="137"/>
      <c r="D54" s="137"/>
      <c r="E54" s="138"/>
      <c r="F54" s="138"/>
      <c r="G54" s="140"/>
      <c r="H54" s="141"/>
      <c r="I54" s="141"/>
      <c r="J54" s="141"/>
      <c r="K54" s="141"/>
      <c r="L54" s="14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153">
        <v>38054</v>
      </c>
      <c r="B55" s="131">
        <v>2886.52</v>
      </c>
      <c r="C55" s="131"/>
      <c r="D55" s="131">
        <v>57.73</v>
      </c>
      <c r="E55" s="132">
        <v>1298.94</v>
      </c>
      <c r="F55" s="132"/>
      <c r="G55" s="134">
        <f>SUM(B55:F55)</f>
        <v>4243.1900000000005</v>
      </c>
      <c r="H55" s="118">
        <v>430.22</v>
      </c>
      <c r="I55" s="118">
        <v>221.79</v>
      </c>
      <c r="J55" s="118">
        <f>62.15+2.34+126.81</f>
        <v>191.3</v>
      </c>
      <c r="K55" s="118">
        <f>H55+I55+J55</f>
        <v>843.31</v>
      </c>
      <c r="L55" s="118">
        <f>G55-K55</f>
        <v>3399.8800000000006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116" t="s">
        <v>123</v>
      </c>
      <c r="B56" s="137"/>
      <c r="C56" s="137"/>
      <c r="D56" s="137"/>
      <c r="E56" s="138"/>
      <c r="F56" s="138"/>
      <c r="G56" s="140"/>
      <c r="H56" s="141"/>
      <c r="I56" s="141"/>
      <c r="J56" s="141"/>
      <c r="K56" s="141"/>
      <c r="L56" s="141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108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153">
        <v>44319</v>
      </c>
      <c r="B58" s="131">
        <v>1507.65</v>
      </c>
      <c r="C58" s="131">
        <f>399.47</f>
        <v>399.47</v>
      </c>
      <c r="D58" s="131"/>
      <c r="E58" s="132"/>
      <c r="F58" s="132"/>
      <c r="G58" s="134">
        <f>SUM(B58:F58)</f>
        <v>1907.1200000000001</v>
      </c>
      <c r="H58" s="118">
        <f>123.5+29.96</f>
        <v>153.46</v>
      </c>
      <c r="I58" s="118"/>
      <c r="J58" s="118">
        <f>62.15+2.08+126.81</f>
        <v>191.04000000000002</v>
      </c>
      <c r="K58" s="118">
        <f>H58+I58+J58</f>
        <v>344.5</v>
      </c>
      <c r="L58" s="118">
        <f>G58-K58</f>
        <v>1562.6200000000001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116" t="s">
        <v>124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116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Bot="1" x14ac:dyDescent="0.3">
      <c r="A61" s="153">
        <v>43845</v>
      </c>
      <c r="B61" s="131">
        <v>1923.41</v>
      </c>
      <c r="C61" s="131"/>
      <c r="D61" s="131"/>
      <c r="E61" s="132"/>
      <c r="F61" s="132"/>
      <c r="G61" s="134">
        <f>SUM(B61:F61)</f>
        <v>1923.41</v>
      </c>
      <c r="H61" s="118">
        <v>154.91999999999999</v>
      </c>
      <c r="I61" s="118"/>
      <c r="J61" s="118">
        <f>19.23+62.15+2.73+205.26</f>
        <v>289.37</v>
      </c>
      <c r="K61" s="118">
        <f>H61+I61+J61</f>
        <v>444.28999999999996</v>
      </c>
      <c r="L61" s="118">
        <f>G61-K61</f>
        <v>1479.1200000000001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thickTop="1" x14ac:dyDescent="0.25">
      <c r="A62" s="116" t="s">
        <v>125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126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thickBot="1" x14ac:dyDescent="0.3">
      <c r="A64" s="153">
        <v>39783</v>
      </c>
      <c r="B64" s="131">
        <v>2886.52</v>
      </c>
      <c r="C64" s="131"/>
      <c r="D64" s="131">
        <v>57.73</v>
      </c>
      <c r="E64" s="132">
        <v>1298.93</v>
      </c>
      <c r="F64" s="132"/>
      <c r="G64" s="134">
        <f>SUM(B64:F64)</f>
        <v>4243.18</v>
      </c>
      <c r="H64" s="118">
        <v>430.22</v>
      </c>
      <c r="I64" s="118">
        <v>221.79</v>
      </c>
      <c r="J64" s="118">
        <f>62.15+2.21+994.14+88.71</f>
        <v>1147.21</v>
      </c>
      <c r="K64" s="118">
        <f>H64+I64+J64</f>
        <v>1799.22</v>
      </c>
      <c r="L64" s="118">
        <f>G64-K64</f>
        <v>2443.96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Top="1" x14ac:dyDescent="0.25">
      <c r="A65" s="115" t="s">
        <v>127</v>
      </c>
      <c r="B65" s="135"/>
      <c r="C65" s="154"/>
      <c r="D65" s="154"/>
      <c r="E65" s="155"/>
      <c r="F65" s="156"/>
      <c r="G65" s="157"/>
      <c r="H65" s="158"/>
      <c r="I65" s="158"/>
      <c r="J65" s="158"/>
      <c r="K65" s="158"/>
      <c r="L65" s="158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20" t="s">
        <v>116</v>
      </c>
      <c r="B66" s="135"/>
      <c r="C66" s="154"/>
      <c r="D66" s="154"/>
      <c r="E66" s="155"/>
      <c r="F66" s="156"/>
      <c r="G66" s="157"/>
      <c r="H66" s="158"/>
      <c r="I66" s="158"/>
      <c r="J66" s="158"/>
      <c r="K66" s="158"/>
      <c r="L66" s="158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thickBot="1" x14ac:dyDescent="0.3">
      <c r="A67" s="153">
        <v>43325</v>
      </c>
      <c r="B67" s="131">
        <v>2058.0500000000002</v>
      </c>
      <c r="C67" s="131"/>
      <c r="D67" s="131"/>
      <c r="E67" s="132">
        <v>298.75</v>
      </c>
      <c r="F67" s="132"/>
      <c r="G67" s="134">
        <f>SUM(B67:F67)</f>
        <v>2356.8000000000002</v>
      </c>
      <c r="H67" s="118">
        <v>193.93</v>
      </c>
      <c r="I67" s="118">
        <v>19.420000000000002</v>
      </c>
      <c r="J67" s="118">
        <f>62.15+2.99+66.85+29.57</f>
        <v>161.56</v>
      </c>
      <c r="K67" s="118">
        <f>H67+I67+J67</f>
        <v>374.91</v>
      </c>
      <c r="L67" s="118">
        <f>G67-K67</f>
        <v>1981.89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Top="1" x14ac:dyDescent="0.25">
      <c r="A68" s="115" t="s">
        <v>155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156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thickBot="1" x14ac:dyDescent="0.3">
      <c r="A70" s="153">
        <v>44686</v>
      </c>
      <c r="B70" s="131">
        <v>1797.58</v>
      </c>
      <c r="C70" s="131"/>
      <c r="D70" s="131"/>
      <c r="E70" s="132"/>
      <c r="F70" s="132"/>
      <c r="G70" s="134">
        <f>SUM(B70:F70)</f>
        <v>1797.58</v>
      </c>
      <c r="H70" s="118">
        <v>143.6</v>
      </c>
      <c r="I70" s="118"/>
      <c r="J70" s="118">
        <f>17.98+62.15+2.99</f>
        <v>83.11999999999999</v>
      </c>
      <c r="K70" s="118">
        <f>H70+I70+J70</f>
        <v>226.71999999999997</v>
      </c>
      <c r="L70" s="118">
        <f>G70-K70</f>
        <v>1570.86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thickTop="1" x14ac:dyDescent="0.25">
      <c r="A71" s="116" t="s">
        <v>128</v>
      </c>
      <c r="B71" s="135"/>
      <c r="C71" s="135"/>
      <c r="D71" s="135"/>
      <c r="E71" s="136"/>
      <c r="F71" s="136"/>
      <c r="G71" s="130"/>
      <c r="H71" s="129"/>
      <c r="I71" s="129"/>
      <c r="J71" s="129"/>
      <c r="K71" s="129"/>
      <c r="L71" s="1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19" t="s">
        <v>116</v>
      </c>
      <c r="B72" s="135"/>
      <c r="C72" s="135"/>
      <c r="D72" s="135"/>
      <c r="E72" s="136"/>
      <c r="F72" s="136"/>
      <c r="G72" s="130"/>
      <c r="H72" s="129"/>
      <c r="I72" s="129"/>
      <c r="J72" s="129"/>
      <c r="K72" s="129"/>
      <c r="L72" s="129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Bot="1" x14ac:dyDescent="0.3">
      <c r="A73" s="114">
        <v>43325</v>
      </c>
      <c r="B73" s="131">
        <v>2058.0500000000002</v>
      </c>
      <c r="C73" s="131"/>
      <c r="D73" s="131"/>
      <c r="E73" s="132">
        <v>627.37</v>
      </c>
      <c r="F73" s="133"/>
      <c r="G73" s="134">
        <f>SUM(B73:F73)</f>
        <v>2685.42</v>
      </c>
      <c r="H73" s="118">
        <v>231.24</v>
      </c>
      <c r="I73" s="118">
        <v>41.26</v>
      </c>
      <c r="J73" s="118">
        <f>20.58+62.15+2.99+275.45</f>
        <v>361.16999999999996</v>
      </c>
      <c r="K73" s="118">
        <f>H73+I73+J73</f>
        <v>633.66999999999996</v>
      </c>
      <c r="L73" s="118">
        <f>G73-K73</f>
        <v>2051.75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thickTop="1" x14ac:dyDescent="0.25">
      <c r="A74" s="151" t="s">
        <v>129</v>
      </c>
      <c r="B74" s="259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thickBot="1" x14ac:dyDescent="0.3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222.28</v>
      </c>
      <c r="I77" s="118">
        <v>36.33</v>
      </c>
      <c r="J77" s="118">
        <f>26.64+52.83+62.15+2.99</f>
        <v>144.61000000000001</v>
      </c>
      <c r="K77" s="118">
        <f>H77+I77+J77</f>
        <v>403.22</v>
      </c>
      <c r="L77" s="118">
        <f>G77-K77</f>
        <v>2260.3000000000002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Top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133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thickBot="1" x14ac:dyDescent="0.3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30.49+62.15+2.99+29.57</f>
        <v>125.19999999999999</v>
      </c>
      <c r="K80" s="118">
        <f>H80+I80+J80</f>
        <v>763.71</v>
      </c>
      <c r="L80" s="118">
        <f>G80-K80</f>
        <v>3658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Top="1" x14ac:dyDescent="0.25">
      <c r="A81" s="151" t="s">
        <v>134</v>
      </c>
      <c r="B81" s="259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thickBot="1" x14ac:dyDescent="0.3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62.15+2.34+101.47</f>
        <v>165.95999999999998</v>
      </c>
      <c r="K84" s="118">
        <f>H84+I84+J84</f>
        <v>469.07</v>
      </c>
      <c r="L84" s="118">
        <f>G84-K84</f>
        <v>2380.89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Top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60" t="s">
        <v>159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Bot="1" x14ac:dyDescent="0.3">
      <c r="A87" s="121" t="s">
        <v>60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61" t="s">
        <v>3</v>
      </c>
      <c r="C88" s="261" t="s">
        <v>92</v>
      </c>
      <c r="D88" s="262" t="s">
        <v>93</v>
      </c>
      <c r="E88" s="263" t="s">
        <v>8</v>
      </c>
      <c r="F88" s="265" t="s">
        <v>94</v>
      </c>
      <c r="G88" s="265" t="s">
        <v>9</v>
      </c>
      <c r="H88" s="261" t="s">
        <v>11</v>
      </c>
      <c r="I88" s="261" t="s">
        <v>95</v>
      </c>
      <c r="J88" s="262" t="s">
        <v>12</v>
      </c>
      <c r="K88" s="262" t="s">
        <v>13</v>
      </c>
      <c r="L88" s="262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50"/>
      <c r="C89" s="250"/>
      <c r="D89" s="250"/>
      <c r="E89" s="263"/>
      <c r="F89" s="250"/>
      <c r="G89" s="250"/>
      <c r="H89" s="250"/>
      <c r="I89" s="250"/>
      <c r="J89" s="250"/>
      <c r="K89" s="250"/>
      <c r="L89" s="250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Bot="1" x14ac:dyDescent="0.3">
      <c r="A90" s="127" t="s">
        <v>16</v>
      </c>
      <c r="B90" s="251"/>
      <c r="C90" s="251"/>
      <c r="D90" s="251"/>
      <c r="E90" s="264"/>
      <c r="F90" s="251"/>
      <c r="G90" s="251"/>
      <c r="H90" s="251"/>
      <c r="I90" s="251"/>
      <c r="J90" s="251"/>
      <c r="K90" s="251"/>
      <c r="L90" s="251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151" t="s">
        <v>137</v>
      </c>
      <c r="B91" s="259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thickBot="1" x14ac:dyDescent="0.3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62.15+2.34</f>
        <v>64.489999999999995</v>
      </c>
      <c r="K94" s="118">
        <f>H94+I94+J94</f>
        <v>318.70999999999998</v>
      </c>
      <c r="L94" s="118">
        <f>G94-K94</f>
        <v>2344.81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thickBot="1" x14ac:dyDescent="0.3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26.63+62.15+1.69</f>
        <v>90.47</v>
      </c>
      <c r="K97" s="118">
        <f>SUM(H97:J97)</f>
        <v>344.69</v>
      </c>
      <c r="L97" s="118">
        <f>G97-K97</f>
        <v>2318.83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151" t="s">
        <v>141</v>
      </c>
      <c r="B98" s="259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16" t="s">
        <v>160</v>
      </c>
      <c r="B99" s="135"/>
      <c r="C99" s="135"/>
      <c r="D99" s="135"/>
      <c r="E99" s="136"/>
      <c r="F99" s="162"/>
      <c r="G99" s="130"/>
      <c r="H99" s="129"/>
      <c r="I99" s="129"/>
      <c r="J99" s="129"/>
      <c r="K99" s="129"/>
      <c r="L99" s="129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19" t="s">
        <v>131</v>
      </c>
      <c r="B100" s="135"/>
      <c r="C100" s="135"/>
      <c r="D100" s="135"/>
      <c r="E100" s="136"/>
      <c r="F100" s="162"/>
      <c r="G100" s="130"/>
      <c r="H100" s="129"/>
      <c r="I100" s="129"/>
      <c r="J100" s="129"/>
      <c r="K100" s="129"/>
      <c r="L100" s="129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114">
        <v>44767</v>
      </c>
      <c r="B101" s="131">
        <v>2663.52</v>
      </c>
      <c r="C101" s="131"/>
      <c r="D101" s="131"/>
      <c r="E101" s="132"/>
      <c r="F101" s="133"/>
      <c r="G101" s="134">
        <f>SUM(B101:F101)</f>
        <v>2663.52</v>
      </c>
      <c r="H101" s="118">
        <v>228.62</v>
      </c>
      <c r="I101" s="118">
        <v>39.82</v>
      </c>
      <c r="J101" s="118">
        <f>76.65+2.99</f>
        <v>79.64</v>
      </c>
      <c r="K101" s="118">
        <f>H101+I101+J101</f>
        <v>348.08</v>
      </c>
      <c r="L101" s="118">
        <f>G101-K101</f>
        <v>2315.44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163"/>
      <c r="B102" s="16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2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113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60"/>
      <c r="C104" s="60"/>
      <c r="D104" s="60"/>
      <c r="E104" s="76"/>
      <c r="F104" s="76"/>
      <c r="G104" s="76"/>
      <c r="H104" s="60"/>
      <c r="I104" s="60"/>
      <c r="J104" s="60"/>
      <c r="K104" s="60"/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60"/>
      <c r="C105" s="60"/>
      <c r="D105" s="60"/>
      <c r="E105" s="76"/>
      <c r="F105" s="76"/>
      <c r="G105" s="76"/>
      <c r="H105" s="60"/>
      <c r="I105" s="60"/>
      <c r="J105" s="60"/>
      <c r="K105" s="60"/>
      <c r="L105" s="6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60"/>
      <c r="C106" s="60"/>
      <c r="D106" s="60"/>
      <c r="E106" s="76"/>
      <c r="F106" s="76"/>
      <c r="G106" s="76"/>
      <c r="H106" s="60"/>
      <c r="I106" s="60"/>
      <c r="J106" s="60"/>
      <c r="K106" s="60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60"/>
      <c r="C107" s="60"/>
      <c r="D107" s="60"/>
      <c r="E107" s="76"/>
      <c r="F107" s="76"/>
      <c r="G107" s="76"/>
      <c r="H107" s="60"/>
      <c r="I107" s="60"/>
      <c r="J107" s="60"/>
      <c r="K107" s="60"/>
      <c r="L107" s="6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60"/>
      <c r="C108" s="60"/>
      <c r="D108" s="60"/>
      <c r="E108" s="76"/>
      <c r="F108" s="76"/>
      <c r="G108" s="76"/>
      <c r="H108" s="60"/>
      <c r="I108" s="60"/>
      <c r="J108" s="60"/>
      <c r="K108" s="60"/>
      <c r="L108" s="60"/>
      <c r="M108" s="10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60"/>
      <c r="C109" s="60"/>
      <c r="D109" s="60"/>
      <c r="E109" s="76"/>
      <c r="F109" s="76"/>
      <c r="G109" s="76"/>
      <c r="H109" s="60"/>
      <c r="I109" s="60"/>
      <c r="J109" s="60"/>
      <c r="K109" s="60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</sheetData>
  <mergeCells count="42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52:L52"/>
    <mergeCell ref="K3:K5"/>
    <mergeCell ref="L3:L5"/>
    <mergeCell ref="B6:L6"/>
    <mergeCell ref="A47:L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B98:L98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B91:L91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5" max="12" man="1"/>
    <brk id="8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38"/>
  <sheetViews>
    <sheetView view="pageBreakPreview" zoomScaleNormal="100" zoomScaleSheetLayoutView="100" workbookViewId="0"/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60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121" t="s">
        <v>66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61" t="s">
        <v>3</v>
      </c>
      <c r="C3" s="261" t="s">
        <v>92</v>
      </c>
      <c r="D3" s="262" t="s">
        <v>93</v>
      </c>
      <c r="E3" s="263" t="s">
        <v>8</v>
      </c>
      <c r="F3" s="265" t="s">
        <v>94</v>
      </c>
      <c r="G3" s="265" t="s">
        <v>9</v>
      </c>
      <c r="H3" s="261" t="s">
        <v>11</v>
      </c>
      <c r="I3" s="261" t="s">
        <v>95</v>
      </c>
      <c r="J3" s="262" t="s">
        <v>12</v>
      </c>
      <c r="K3" s="262" t="s">
        <v>13</v>
      </c>
      <c r="L3" s="26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50"/>
      <c r="C4" s="250"/>
      <c r="D4" s="250"/>
      <c r="E4" s="263"/>
      <c r="F4" s="250"/>
      <c r="G4" s="250"/>
      <c r="H4" s="250"/>
      <c r="I4" s="250"/>
      <c r="J4" s="250"/>
      <c r="K4" s="250"/>
      <c r="L4" s="262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1"/>
      <c r="C5" s="251"/>
      <c r="D5" s="251"/>
      <c r="E5" s="264"/>
      <c r="F5" s="251"/>
      <c r="G5" s="251"/>
      <c r="H5" s="251"/>
      <c r="I5" s="251"/>
      <c r="J5" s="251"/>
      <c r="K5" s="251"/>
      <c r="L5" s="26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59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114">
        <v>43171</v>
      </c>
      <c r="B9" s="131">
        <v>2058.0500000000002</v>
      </c>
      <c r="C9" s="131"/>
      <c r="D9" s="131"/>
      <c r="E9" s="132"/>
      <c r="F9" s="133"/>
      <c r="G9" s="134">
        <f>SUM(B9:F9)</f>
        <v>2058.0500000000002</v>
      </c>
      <c r="H9" s="118">
        <v>167.04</v>
      </c>
      <c r="I9" s="118"/>
      <c r="J9" s="118">
        <f>62.15+2.73+66.85</f>
        <v>131.72999999999999</v>
      </c>
      <c r="K9" s="118">
        <f>SUM(H9:J9)</f>
        <v>298.77</v>
      </c>
      <c r="L9" s="118">
        <f>G9-K9</f>
        <v>1759.2800000000002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62.15+2.47+126.81</f>
        <v>191.43</v>
      </c>
      <c r="K12" s="118">
        <f>H12+I12+J12</f>
        <v>822.19</v>
      </c>
      <c r="L12" s="118">
        <f>G12-K12</f>
        <v>3357.2899999999995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62.15+1.82+450.78+88.71</f>
        <v>603.46</v>
      </c>
      <c r="K15" s="118">
        <f>H15+I15+J15</f>
        <v>2930.11</v>
      </c>
      <c r="L15" s="118">
        <f>G15-K15</f>
        <v>6887.0299999999988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62.15+2.73+280.68</f>
        <v>345.56</v>
      </c>
      <c r="K18" s="118">
        <f>H18+I18+J18</f>
        <v>786.86</v>
      </c>
      <c r="L18" s="118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43">
        <v>44207</v>
      </c>
      <c r="B21" s="118">
        <v>1797.58</v>
      </c>
      <c r="C21" s="118"/>
      <c r="D21" s="118"/>
      <c r="E21" s="134"/>
      <c r="F21" s="87"/>
      <c r="G21" s="134">
        <f>SUM(B21:F21)</f>
        <v>1797.58</v>
      </c>
      <c r="H21" s="118">
        <v>143.6</v>
      </c>
      <c r="I21" s="144"/>
      <c r="J21" s="118">
        <f>62.15+2.73+190.58+29.57</f>
        <v>285.03000000000003</v>
      </c>
      <c r="K21" s="118">
        <f>SUM(H21:J21)</f>
        <v>428.63</v>
      </c>
      <c r="L21" s="118">
        <f>G21-K21</f>
        <v>1368.9499999999998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43">
        <v>43739</v>
      </c>
      <c r="B27" s="118">
        <v>3829.46</v>
      </c>
      <c r="C27" s="118"/>
      <c r="D27" s="118"/>
      <c r="E27" s="134">
        <v>268.06</v>
      </c>
      <c r="F27" s="87"/>
      <c r="G27" s="134">
        <f>SUM(B27:F27)</f>
        <v>4097.5200000000004</v>
      </c>
      <c r="H27" s="118">
        <v>409.82</v>
      </c>
      <c r="I27" s="144">
        <v>198.36</v>
      </c>
      <c r="J27" s="118">
        <f>62.15+2.6+323.54+59.14</f>
        <v>447.43</v>
      </c>
      <c r="K27" s="118">
        <f>SUM(H27:J27)</f>
        <v>1055.6100000000001</v>
      </c>
      <c r="L27" s="118">
        <f>G27-K27</f>
        <v>3041.9100000000003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114">
        <v>43648</v>
      </c>
      <c r="B30" s="131">
        <v>1282.27</v>
      </c>
      <c r="C30" s="131">
        <f>641.14+213.71</f>
        <v>854.85</v>
      </c>
      <c r="D30" s="131"/>
      <c r="E30" s="132"/>
      <c r="F30" s="133"/>
      <c r="G30" s="134">
        <f>SUM(B30:F30)</f>
        <v>2137.12</v>
      </c>
      <c r="H30" s="118">
        <f>110.05+64.11</f>
        <v>174.16</v>
      </c>
      <c r="I30" s="118"/>
      <c r="J30" s="118">
        <f>62.15+2.73</f>
        <v>64.88</v>
      </c>
      <c r="K30" s="118">
        <f>SUM(H30:J30)</f>
        <v>239.04</v>
      </c>
      <c r="L30" s="118">
        <f>G30-K30</f>
        <v>1898.08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114">
        <v>44580</v>
      </c>
      <c r="B33" s="131">
        <f>2147.36+1431.58</f>
        <v>3578.94</v>
      </c>
      <c r="C33" s="131"/>
      <c r="D33" s="131"/>
      <c r="E33" s="132"/>
      <c r="F33" s="133"/>
      <c r="G33" s="134">
        <f>SUM(B33:F33)</f>
        <v>3578.94</v>
      </c>
      <c r="H33" s="118">
        <v>321.5</v>
      </c>
      <c r="I33" s="118">
        <v>112.61</v>
      </c>
      <c r="J33" s="118">
        <f>35.79+141.37+62.15+13.78+154.07+88.71</f>
        <v>495.86999999999995</v>
      </c>
      <c r="K33" s="118">
        <f>SUM(H33:J33)</f>
        <v>929.98</v>
      </c>
      <c r="L33" s="118">
        <f>G33-K33</f>
        <v>2648.96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62.15+2.73+120.51+29.57</f>
        <v>214.95999999999998</v>
      </c>
      <c r="K36" s="118">
        <f>SUM(H36:J36)</f>
        <v>382</v>
      </c>
      <c r="L36" s="118">
        <f>G36-K36</f>
        <v>1676.0500000000002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161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114">
        <v>43325</v>
      </c>
      <c r="B39" s="131">
        <v>1715.04</v>
      </c>
      <c r="C39" s="131">
        <f>412.67+137.56</f>
        <v>550.23</v>
      </c>
      <c r="D39" s="131"/>
      <c r="E39" s="132"/>
      <c r="F39" s="133"/>
      <c r="G39" s="134">
        <f>SUM(B39:F39)</f>
        <v>2265.27</v>
      </c>
      <c r="H39" s="118">
        <f>144.43+41.26</f>
        <v>185.69</v>
      </c>
      <c r="I39" s="118"/>
      <c r="J39" s="118">
        <f>20.58+62.15+2.73+97.15</f>
        <v>182.61</v>
      </c>
      <c r="K39" s="118">
        <f>H39+I39+J39</f>
        <v>368.3</v>
      </c>
      <c r="L39" s="118">
        <f>G39-K39</f>
        <v>1896.97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19.23+62.15+2.73+117.33</f>
        <v>201.44</v>
      </c>
      <c r="K42" s="118">
        <f>H42+I42+J42</f>
        <v>356.36</v>
      </c>
      <c r="L42" s="118">
        <f>G42-K42</f>
        <v>1567.0500000000002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25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62.15+2.6+147.85</f>
        <v>212.6</v>
      </c>
      <c r="K45" s="118">
        <f>H45+I45+J45</f>
        <v>356.2</v>
      </c>
      <c r="L45" s="118">
        <f>G45-K45</f>
        <v>1441.3799999999999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73" customFormat="1" ht="15.75" customHeight="1" x14ac:dyDescent="0.25">
      <c r="A46" s="174" t="s">
        <v>128</v>
      </c>
      <c r="B46" s="167"/>
      <c r="C46" s="167"/>
      <c r="D46" s="167"/>
      <c r="E46" s="168"/>
      <c r="F46" s="168"/>
      <c r="G46" s="169"/>
      <c r="H46" s="170"/>
      <c r="I46" s="170"/>
      <c r="J46" s="170"/>
      <c r="K46" s="170"/>
      <c r="L46" s="170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1:32" ht="15.75" customHeight="1" x14ac:dyDescent="0.25">
      <c r="A47" s="119" t="s">
        <v>161</v>
      </c>
      <c r="B47" s="135"/>
      <c r="C47" s="135"/>
      <c r="D47" s="135"/>
      <c r="E47" s="136"/>
      <c r="F47" s="136"/>
      <c r="G47" s="130"/>
      <c r="H47" s="129"/>
      <c r="I47" s="129"/>
      <c r="J47" s="129"/>
      <c r="K47" s="129"/>
      <c r="L47" s="1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14">
        <v>43325</v>
      </c>
      <c r="B48" s="131">
        <v>2058.0500000000002</v>
      </c>
      <c r="C48" s="131"/>
      <c r="D48" s="131"/>
      <c r="E48" s="132">
        <v>926.12</v>
      </c>
      <c r="F48" s="133"/>
      <c r="G48" s="134">
        <f>SUM(B48:F48)</f>
        <v>2984.17</v>
      </c>
      <c r="H48" s="118">
        <v>267.08999999999997</v>
      </c>
      <c r="I48" s="118">
        <v>60.98</v>
      </c>
      <c r="J48" s="118">
        <f>20.58+62.15+2.21+131.77</f>
        <v>216.70999999999998</v>
      </c>
      <c r="K48" s="118">
        <f>H48+I48+J48</f>
        <v>544.78</v>
      </c>
      <c r="L48" s="118">
        <f>G48-K48</f>
        <v>2439.3900000000003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25">
      <c r="A49" s="148"/>
      <c r="B49" s="141"/>
      <c r="C49" s="141"/>
      <c r="D49" s="141"/>
      <c r="E49" s="140"/>
      <c r="F49" s="147"/>
      <c r="G49" s="140"/>
      <c r="H49" s="141"/>
      <c r="I49" s="141"/>
      <c r="J49" s="141"/>
      <c r="K49" s="141"/>
      <c r="L49" s="14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260" t="s">
        <v>159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21" t="s">
        <v>66</v>
      </c>
      <c r="B51" s="122">
        <v>2022</v>
      </c>
      <c r="C51" s="149"/>
      <c r="D51" s="149"/>
      <c r="E51" s="150"/>
      <c r="F51" s="150"/>
      <c r="G51" s="150"/>
      <c r="H51" s="149"/>
      <c r="I51" s="149"/>
      <c r="J51" s="149"/>
      <c r="K51" s="149"/>
      <c r="L51" s="1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25" t="s">
        <v>2</v>
      </c>
      <c r="B52" s="261" t="s">
        <v>3</v>
      </c>
      <c r="C52" s="261" t="s">
        <v>92</v>
      </c>
      <c r="D52" s="262" t="s">
        <v>93</v>
      </c>
      <c r="E52" s="263" t="s">
        <v>8</v>
      </c>
      <c r="F52" s="265" t="s">
        <v>94</v>
      </c>
      <c r="G52" s="265" t="s">
        <v>9</v>
      </c>
      <c r="H52" s="261" t="s">
        <v>11</v>
      </c>
      <c r="I52" s="261" t="s">
        <v>95</v>
      </c>
      <c r="J52" s="262" t="s">
        <v>12</v>
      </c>
      <c r="K52" s="262" t="s">
        <v>13</v>
      </c>
      <c r="L52" s="262" t="s">
        <v>14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26" t="s">
        <v>15</v>
      </c>
      <c r="B53" s="250"/>
      <c r="C53" s="250"/>
      <c r="D53" s="250"/>
      <c r="E53" s="263"/>
      <c r="F53" s="250"/>
      <c r="G53" s="250"/>
      <c r="H53" s="250"/>
      <c r="I53" s="250"/>
      <c r="J53" s="250"/>
      <c r="K53" s="250"/>
      <c r="L53" s="250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27" t="s">
        <v>16</v>
      </c>
      <c r="B54" s="251"/>
      <c r="C54" s="251"/>
      <c r="D54" s="251"/>
      <c r="E54" s="264"/>
      <c r="F54" s="251"/>
      <c r="G54" s="251"/>
      <c r="H54" s="251"/>
      <c r="I54" s="251"/>
      <c r="J54" s="251"/>
      <c r="K54" s="251"/>
      <c r="L54" s="25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51" t="s">
        <v>120</v>
      </c>
      <c r="B55" s="259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16" t="s">
        <v>121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122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53">
        <v>38054</v>
      </c>
      <c r="B58" s="131">
        <v>2886.52</v>
      </c>
      <c r="C58" s="131"/>
      <c r="D58" s="131">
        <v>57.73</v>
      </c>
      <c r="E58" s="132">
        <v>1298.94</v>
      </c>
      <c r="F58" s="132"/>
      <c r="G58" s="134">
        <f>SUM(B58:F58)</f>
        <v>4243.1900000000005</v>
      </c>
      <c r="H58" s="118">
        <v>430.22</v>
      </c>
      <c r="I58" s="118">
        <v>221.79</v>
      </c>
      <c r="J58" s="118">
        <f>62.15+2.73+126.81</f>
        <v>191.69</v>
      </c>
      <c r="K58" s="118">
        <f>H58+I58+J58</f>
        <v>843.7</v>
      </c>
      <c r="L58" s="118">
        <f>G58-K58</f>
        <v>3399.4900000000007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16" t="s">
        <v>123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108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53">
        <v>44319</v>
      </c>
      <c r="B61" s="131">
        <v>1797.58</v>
      </c>
      <c r="C61" s="131"/>
      <c r="D61" s="131"/>
      <c r="E61" s="132"/>
      <c r="F61" s="132"/>
      <c r="G61" s="134">
        <f>SUM(B61:F61)</f>
        <v>1797.58</v>
      </c>
      <c r="H61" s="118">
        <v>143.6</v>
      </c>
      <c r="I61" s="118"/>
      <c r="J61" s="118">
        <f>62.15+2.73+126.81</f>
        <v>191.69</v>
      </c>
      <c r="K61" s="118">
        <f>H61+I61+J61</f>
        <v>335.28999999999996</v>
      </c>
      <c r="L61" s="118">
        <f>G61-K61</f>
        <v>1462.29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16" t="s">
        <v>124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116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53">
        <v>43845</v>
      </c>
      <c r="B64" s="131">
        <v>1923.41</v>
      </c>
      <c r="C64" s="131"/>
      <c r="D64" s="131"/>
      <c r="E64" s="132"/>
      <c r="F64" s="132"/>
      <c r="G64" s="134">
        <f>SUM(B64:F64)</f>
        <v>1923.41</v>
      </c>
      <c r="H64" s="118">
        <v>154.91999999999999</v>
      </c>
      <c r="I64" s="118"/>
      <c r="J64" s="118">
        <f>19.23+62.15+1.56+694.25</f>
        <v>777.19</v>
      </c>
      <c r="K64" s="118">
        <f>H64+I64+J64</f>
        <v>932.11</v>
      </c>
      <c r="L64" s="118">
        <f>G64-K64</f>
        <v>991.30000000000007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16" t="s">
        <v>125</v>
      </c>
      <c r="B65" s="137"/>
      <c r="C65" s="137"/>
      <c r="D65" s="137"/>
      <c r="E65" s="138"/>
      <c r="F65" s="138"/>
      <c r="G65" s="140"/>
      <c r="H65" s="141"/>
      <c r="I65" s="141"/>
      <c r="J65" s="141"/>
      <c r="K65" s="141"/>
      <c r="L65" s="14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42" t="s">
        <v>126</v>
      </c>
      <c r="B66" s="137"/>
      <c r="C66" s="137"/>
      <c r="D66" s="137"/>
      <c r="E66" s="138"/>
      <c r="F66" s="138"/>
      <c r="G66" s="140"/>
      <c r="H66" s="141"/>
      <c r="I66" s="141"/>
      <c r="J66" s="141"/>
      <c r="K66" s="141"/>
      <c r="L66" s="14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53">
        <v>39783</v>
      </c>
      <c r="B67" s="131">
        <v>2405.4299999999998</v>
      </c>
      <c r="C67" s="131">
        <f>707.2+235.73</f>
        <v>942.93000000000006</v>
      </c>
      <c r="D67" s="131">
        <v>48.11</v>
      </c>
      <c r="E67" s="132">
        <v>1082.44</v>
      </c>
      <c r="F67" s="132"/>
      <c r="G67" s="134">
        <f>SUM(B67:F67)</f>
        <v>4478.91</v>
      </c>
      <c r="H67" s="118">
        <f>392.51+70.71</f>
        <v>463.21999999999997</v>
      </c>
      <c r="I67" s="118">
        <v>116.72</v>
      </c>
      <c r="J67" s="118">
        <f>62.15+2.73+519.4+88.71</f>
        <v>672.99</v>
      </c>
      <c r="K67" s="118">
        <f>H67+I67+J67</f>
        <v>1252.9299999999998</v>
      </c>
      <c r="L67" s="118">
        <f>G67-K67</f>
        <v>3225.98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15" t="s">
        <v>127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161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53">
        <v>43325</v>
      </c>
      <c r="B70" s="131">
        <v>2058.0500000000002</v>
      </c>
      <c r="C70" s="131"/>
      <c r="D70" s="131"/>
      <c r="E70" s="132"/>
      <c r="F70" s="132"/>
      <c r="G70" s="134">
        <f>SUM(B70:F70)</f>
        <v>2058.0500000000002</v>
      </c>
      <c r="H70" s="118">
        <v>167.04</v>
      </c>
      <c r="I70" s="118"/>
      <c r="J70" s="118">
        <f>62.15+2.6+66.85+29.57</f>
        <v>161.16999999999999</v>
      </c>
      <c r="K70" s="118">
        <f>H70+I70+J70</f>
        <v>328.21</v>
      </c>
      <c r="L70" s="118">
        <f>G70-K70</f>
        <v>1729.8400000000001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15" t="s">
        <v>155</v>
      </c>
      <c r="B71" s="135"/>
      <c r="C71" s="154"/>
      <c r="D71" s="154"/>
      <c r="E71" s="155"/>
      <c r="F71" s="156"/>
      <c r="G71" s="157"/>
      <c r="H71" s="158"/>
      <c r="I71" s="158"/>
      <c r="J71" s="158"/>
      <c r="K71" s="158"/>
      <c r="L71" s="15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20" t="s">
        <v>156</v>
      </c>
      <c r="B72" s="135"/>
      <c r="C72" s="154"/>
      <c r="D72" s="154"/>
      <c r="E72" s="155"/>
      <c r="F72" s="156"/>
      <c r="G72" s="157"/>
      <c r="H72" s="158"/>
      <c r="I72" s="158"/>
      <c r="J72" s="158"/>
      <c r="K72" s="158"/>
      <c r="L72" s="158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53">
        <v>44686</v>
      </c>
      <c r="B73" s="131">
        <v>1797.58</v>
      </c>
      <c r="C73" s="131"/>
      <c r="D73" s="131"/>
      <c r="E73" s="132"/>
      <c r="F73" s="132"/>
      <c r="G73" s="134">
        <f>SUM(B73:F73)</f>
        <v>1797.58</v>
      </c>
      <c r="H73" s="118">
        <v>143.6</v>
      </c>
      <c r="I73" s="118"/>
      <c r="J73" s="118">
        <f>17.98+62.15+2.73+214.02</f>
        <v>296.88</v>
      </c>
      <c r="K73" s="118">
        <f>H73+I73+J73</f>
        <v>440.48</v>
      </c>
      <c r="L73" s="118">
        <f>G73-K73</f>
        <v>1357.1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51" t="s">
        <v>129</v>
      </c>
      <c r="B74" s="259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228.62</v>
      </c>
      <c r="I77" s="118">
        <v>39.82</v>
      </c>
      <c r="J77" s="118">
        <f>26.64+62.15+2.47</f>
        <v>91.259999999999991</v>
      </c>
      <c r="K77" s="118">
        <f>H77+I77+J77</f>
        <v>359.7</v>
      </c>
      <c r="L77" s="118">
        <f>G77-K77</f>
        <v>2303.8200000000002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162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x14ac:dyDescent="0.25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30.49+62.15+2.73+29.57</f>
        <v>124.94</v>
      </c>
      <c r="K80" s="118">
        <f>H80+I80+J80</f>
        <v>763.45</v>
      </c>
      <c r="L80" s="118">
        <f>G80-K80</f>
        <v>3658.26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51" t="s">
        <v>134</v>
      </c>
      <c r="B81" s="259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x14ac:dyDescent="0.25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62.15+2.73+236.41</f>
        <v>301.28999999999996</v>
      </c>
      <c r="K84" s="118">
        <f>H84+I84+J84</f>
        <v>604.4</v>
      </c>
      <c r="L84" s="118">
        <f>G84-K84</f>
        <v>2245.56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60" t="s">
        <v>159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21" t="s">
        <v>66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61" t="s">
        <v>3</v>
      </c>
      <c r="C88" s="261" t="s">
        <v>92</v>
      </c>
      <c r="D88" s="262" t="s">
        <v>93</v>
      </c>
      <c r="E88" s="263" t="s">
        <v>8</v>
      </c>
      <c r="F88" s="265" t="s">
        <v>94</v>
      </c>
      <c r="G88" s="265" t="s">
        <v>9</v>
      </c>
      <c r="H88" s="261" t="s">
        <v>11</v>
      </c>
      <c r="I88" s="261" t="s">
        <v>95</v>
      </c>
      <c r="J88" s="262" t="s">
        <v>12</v>
      </c>
      <c r="K88" s="262" t="s">
        <v>13</v>
      </c>
      <c r="L88" s="262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50"/>
      <c r="C89" s="250"/>
      <c r="D89" s="250"/>
      <c r="E89" s="263"/>
      <c r="F89" s="250"/>
      <c r="G89" s="250"/>
      <c r="H89" s="250"/>
      <c r="I89" s="250"/>
      <c r="J89" s="250"/>
      <c r="K89" s="250"/>
      <c r="L89" s="250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27" t="s">
        <v>16</v>
      </c>
      <c r="B90" s="251"/>
      <c r="C90" s="251"/>
      <c r="D90" s="251"/>
      <c r="E90" s="264"/>
      <c r="F90" s="251"/>
      <c r="G90" s="251"/>
      <c r="H90" s="251"/>
      <c r="I90" s="251"/>
      <c r="J90" s="251"/>
      <c r="K90" s="251"/>
      <c r="L90" s="251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51" t="s">
        <v>137</v>
      </c>
      <c r="B91" s="259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26.64+62.15+2.73+157.82+29.57</f>
        <v>278.90999999999997</v>
      </c>
      <c r="K94" s="118">
        <f>H94+I94+J94</f>
        <v>533.13</v>
      </c>
      <c r="L94" s="118">
        <f>G94-K94</f>
        <v>2130.39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x14ac:dyDescent="0.25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26.63+62.15+2.73</f>
        <v>91.51</v>
      </c>
      <c r="K97" s="118">
        <f>SUM(H97:J97)</f>
        <v>345.73</v>
      </c>
      <c r="L97" s="118">
        <f>G97-K97</f>
        <v>2317.79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142"/>
      <c r="B98" s="137"/>
      <c r="C98" s="137"/>
      <c r="D98" s="137"/>
      <c r="E98" s="138"/>
      <c r="F98" s="139"/>
      <c r="G98" s="140"/>
      <c r="H98" s="141"/>
      <c r="I98" s="141"/>
      <c r="J98" s="141"/>
      <c r="K98" s="141"/>
      <c r="L98" s="141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142"/>
      <c r="B99" s="137"/>
      <c r="C99" s="137"/>
      <c r="D99" s="137"/>
      <c r="E99" s="138"/>
      <c r="F99" s="139"/>
      <c r="G99" s="140"/>
      <c r="H99" s="141"/>
      <c r="I99" s="141"/>
      <c r="J99" s="141"/>
      <c r="K99" s="141"/>
      <c r="L99" s="141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5" customHeight="1" x14ac:dyDescent="0.25">
      <c r="A100" s="142"/>
      <c r="B100" s="137"/>
      <c r="C100" s="137"/>
      <c r="D100" s="268" t="s">
        <v>53</v>
      </c>
      <c r="E100" s="268"/>
      <c r="F100" s="268"/>
      <c r="G100" s="268"/>
      <c r="H100" s="268"/>
      <c r="I100" s="141"/>
      <c r="J100" s="141"/>
      <c r="K100" s="141"/>
      <c r="L100" s="141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21" t="s">
        <v>66</v>
      </c>
      <c r="B101" s="122">
        <v>2022</v>
      </c>
      <c r="C101" s="149"/>
      <c r="D101" s="149"/>
      <c r="E101" s="150"/>
      <c r="F101" s="150"/>
      <c r="G101" s="150"/>
      <c r="H101" s="149"/>
      <c r="I101" s="149"/>
      <c r="J101" s="149"/>
      <c r="K101" s="149"/>
      <c r="L101" s="149"/>
      <c r="M101" s="1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25" t="s">
        <v>2</v>
      </c>
      <c r="B102" s="261" t="s">
        <v>3</v>
      </c>
      <c r="C102" s="261" t="s">
        <v>163</v>
      </c>
      <c r="D102" s="261" t="s">
        <v>92</v>
      </c>
      <c r="E102" s="261" t="s">
        <v>93</v>
      </c>
      <c r="F102" s="261" t="s">
        <v>8</v>
      </c>
      <c r="G102" s="261" t="s">
        <v>94</v>
      </c>
      <c r="H102" s="261" t="s">
        <v>9</v>
      </c>
      <c r="I102" s="261" t="s">
        <v>11</v>
      </c>
      <c r="J102" s="261" t="s">
        <v>95</v>
      </c>
      <c r="K102" s="262" t="s">
        <v>12</v>
      </c>
      <c r="L102" s="262" t="s">
        <v>13</v>
      </c>
      <c r="M102" s="262" t="s">
        <v>14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26" t="s">
        <v>15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27" t="s">
        <v>16</v>
      </c>
      <c r="B104" s="251"/>
      <c r="C104" s="251"/>
      <c r="D104" s="251"/>
      <c r="E104" s="251"/>
      <c r="F104" s="251"/>
      <c r="G104" s="251"/>
      <c r="H104" s="251"/>
      <c r="I104" s="166"/>
      <c r="J104" s="166"/>
      <c r="K104" s="166"/>
      <c r="L104" s="166"/>
      <c r="M104" s="16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16" t="s">
        <v>160</v>
      </c>
      <c r="B105" s="160"/>
      <c r="C105" s="160"/>
      <c r="D105" s="160"/>
      <c r="E105" s="160"/>
      <c r="F105" s="160"/>
      <c r="G105" s="160"/>
      <c r="H105" s="161"/>
      <c r="I105" s="161"/>
      <c r="J105" s="161"/>
      <c r="K105" s="161"/>
      <c r="L105" s="161"/>
      <c r="M105" s="1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19" t="s">
        <v>131</v>
      </c>
      <c r="B106" s="135"/>
      <c r="C106" s="135"/>
      <c r="D106" s="135"/>
      <c r="E106" s="135"/>
      <c r="F106" s="136"/>
      <c r="G106" s="162"/>
      <c r="H106" s="130"/>
      <c r="I106" s="129"/>
      <c r="J106" s="129"/>
      <c r="K106" s="129"/>
      <c r="L106" s="129"/>
      <c r="M106" s="12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14">
        <v>44767</v>
      </c>
      <c r="B107" s="131">
        <v>1420.54</v>
      </c>
      <c r="C107" s="131">
        <f>40.97+213.08</f>
        <v>254.05</v>
      </c>
      <c r="D107" s="131">
        <f>149.15+447.45</f>
        <v>596.6</v>
      </c>
      <c r="E107" s="131"/>
      <c r="F107" s="132"/>
      <c r="G107" s="133">
        <v>447.45</v>
      </c>
      <c r="H107" s="134">
        <f>SUM(B107:G107)</f>
        <v>2718.64</v>
      </c>
      <c r="I107" s="118">
        <f>132.53+33.55</f>
        <v>166.07999999999998</v>
      </c>
      <c r="J107" s="118">
        <v>218.87</v>
      </c>
      <c r="K107" s="118">
        <f>613.22+131.43</f>
        <v>744.65000000000009</v>
      </c>
      <c r="L107" s="118">
        <f>I107+J107+K107</f>
        <v>1129.6000000000001</v>
      </c>
      <c r="M107" s="118">
        <f>H107-L107</f>
        <v>1589.0399999999997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63"/>
      <c r="B108" s="164"/>
      <c r="C108" s="165"/>
      <c r="D108" s="95"/>
      <c r="E108" s="95"/>
      <c r="F108" s="95"/>
      <c r="G108" s="95"/>
      <c r="H108" s="95"/>
      <c r="I108" s="95"/>
      <c r="J108" s="95"/>
      <c r="K108" s="95"/>
      <c r="L108" s="95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02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113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0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</sheetData>
  <mergeCells count="54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55:L55"/>
    <mergeCell ref="K3:K5"/>
    <mergeCell ref="L3:L5"/>
    <mergeCell ref="B6:L6"/>
    <mergeCell ref="A50:L50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K88:K90"/>
    <mergeCell ref="L88:L90"/>
    <mergeCell ref="B91:L91"/>
    <mergeCell ref="D100:H100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C102:C104"/>
    <mergeCell ref="B102:B104"/>
    <mergeCell ref="D102:D104"/>
    <mergeCell ref="I88:I90"/>
    <mergeCell ref="J88:J90"/>
    <mergeCell ref="M102:M103"/>
    <mergeCell ref="E102:E104"/>
    <mergeCell ref="F102:F104"/>
    <mergeCell ref="G102:G104"/>
    <mergeCell ref="I102:I103"/>
    <mergeCell ref="J102:J103"/>
    <mergeCell ref="K102:K103"/>
    <mergeCell ref="L102:L103"/>
    <mergeCell ref="H102:H104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8" max="12" man="1"/>
    <brk id="8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22"/>
  <sheetViews>
    <sheetView tabSelected="1" topLeftCell="A38" zoomScaleNormal="100" workbookViewId="0">
      <selection activeCell="D75" sqref="D75"/>
    </sheetView>
  </sheetViews>
  <sheetFormatPr defaultRowHeight="14.25" x14ac:dyDescent="0.2"/>
  <cols>
    <col min="1" max="1" width="22.75" customWidth="1"/>
    <col min="2" max="4" width="13" customWidth="1"/>
    <col min="5" max="5" width="11.5" customWidth="1"/>
    <col min="6" max="6" width="13" customWidth="1"/>
    <col min="7" max="7" width="11.625" customWidth="1"/>
    <col min="8" max="8" width="12.5" customWidth="1"/>
    <col min="9" max="9" width="12.125" customWidth="1"/>
    <col min="10" max="10" width="13.5" customWidth="1"/>
    <col min="11" max="11" width="11.125" customWidth="1"/>
    <col min="12" max="12" width="12.375" customWidth="1"/>
    <col min="13" max="13" width="13.5" customWidth="1"/>
    <col min="14" max="14" width="15.875" customWidth="1"/>
    <col min="15" max="15" width="11.5" bestFit="1" customWidth="1"/>
  </cols>
  <sheetData>
    <row r="1" spans="1:34" ht="14.25" customHeight="1" x14ac:dyDescent="0.25">
      <c r="A1" s="272" t="s">
        <v>159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thickBot="1" x14ac:dyDescent="0.3">
      <c r="A2" s="109" t="s">
        <v>143</v>
      </c>
      <c r="B2" s="175">
        <v>2023</v>
      </c>
      <c r="C2" s="175"/>
      <c r="D2" s="175"/>
      <c r="E2" s="176"/>
      <c r="F2" s="176"/>
      <c r="G2" s="177"/>
      <c r="H2" s="177"/>
      <c r="I2" s="177"/>
      <c r="J2" s="176"/>
      <c r="K2" s="176"/>
      <c r="L2" s="176"/>
      <c r="M2" s="176"/>
      <c r="N2" s="176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178" t="s">
        <v>2</v>
      </c>
      <c r="B3" s="269" t="s">
        <v>3</v>
      </c>
      <c r="C3" s="269" t="s">
        <v>164</v>
      </c>
      <c r="D3" s="269" t="s">
        <v>165</v>
      </c>
      <c r="E3" s="269" t="s">
        <v>92</v>
      </c>
      <c r="F3" s="276" t="s">
        <v>93</v>
      </c>
      <c r="G3" s="277" t="s">
        <v>8</v>
      </c>
      <c r="H3" s="279" t="s">
        <v>94</v>
      </c>
      <c r="I3" s="279" t="s">
        <v>9</v>
      </c>
      <c r="J3" s="269" t="s">
        <v>11</v>
      </c>
      <c r="K3" s="269" t="s">
        <v>95</v>
      </c>
      <c r="L3" s="276" t="s">
        <v>12</v>
      </c>
      <c r="M3" s="276" t="s">
        <v>13</v>
      </c>
      <c r="N3" s="280" t="s">
        <v>14</v>
      </c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25">
      <c r="A4" s="179" t="s">
        <v>15</v>
      </c>
      <c r="B4" s="270"/>
      <c r="C4" s="270"/>
      <c r="D4" s="270"/>
      <c r="E4" s="270"/>
      <c r="F4" s="270"/>
      <c r="G4" s="277"/>
      <c r="H4" s="270"/>
      <c r="I4" s="270"/>
      <c r="J4" s="270"/>
      <c r="K4" s="270"/>
      <c r="L4" s="270"/>
      <c r="M4" s="270"/>
      <c r="N4" s="276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25">
      <c r="A5" s="180" t="s">
        <v>16</v>
      </c>
      <c r="B5" s="271"/>
      <c r="C5" s="271"/>
      <c r="D5" s="271"/>
      <c r="E5" s="271"/>
      <c r="F5" s="271"/>
      <c r="G5" s="278"/>
      <c r="H5" s="271"/>
      <c r="I5" s="271"/>
      <c r="J5" s="271"/>
      <c r="K5" s="271"/>
      <c r="L5" s="271"/>
      <c r="M5" s="271"/>
      <c r="N5" s="281"/>
      <c r="O5" s="5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181" t="s">
        <v>96</v>
      </c>
      <c r="B6" s="274"/>
      <c r="C6" s="274"/>
      <c r="D6" s="274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25">
      <c r="A7" s="116" t="s">
        <v>99</v>
      </c>
      <c r="B7" s="182"/>
      <c r="C7" s="182"/>
      <c r="D7" s="182"/>
      <c r="E7" s="182"/>
      <c r="F7" s="182"/>
      <c r="G7" s="183"/>
      <c r="H7" s="183"/>
      <c r="I7" s="183"/>
      <c r="J7" s="182"/>
      <c r="K7" s="182"/>
      <c r="L7" s="182"/>
      <c r="M7" s="182"/>
      <c r="N7" s="182"/>
      <c r="O7" s="5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25">
      <c r="A8" s="184" t="s">
        <v>151</v>
      </c>
      <c r="B8" s="182"/>
      <c r="C8" s="182"/>
      <c r="D8" s="182"/>
      <c r="E8" s="182"/>
      <c r="F8" s="182"/>
      <c r="G8" s="183"/>
      <c r="H8" s="183"/>
      <c r="I8" s="183"/>
      <c r="J8" s="182"/>
      <c r="K8" s="182"/>
      <c r="L8" s="182"/>
      <c r="M8" s="182"/>
      <c r="N8" s="182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thickBot="1" x14ac:dyDescent="0.3">
      <c r="A9" s="185">
        <v>43171</v>
      </c>
      <c r="B9" s="186">
        <v>2058.0500000000002</v>
      </c>
      <c r="C9" s="186"/>
      <c r="D9" s="186"/>
      <c r="E9" s="186"/>
      <c r="F9" s="186"/>
      <c r="G9" s="187"/>
      <c r="H9" s="68"/>
      <c r="I9" s="188">
        <f>SUM(B9:H9)</f>
        <v>2058.0500000000002</v>
      </c>
      <c r="J9" s="189">
        <v>165.69</v>
      </c>
      <c r="K9" s="189"/>
      <c r="L9" s="189">
        <f>139.56+62.15+2.6</f>
        <v>204.31</v>
      </c>
      <c r="M9" s="189">
        <f>SUM(J9:L9)</f>
        <v>370</v>
      </c>
      <c r="N9" s="189">
        <f>I9-M9</f>
        <v>1688.0500000000002</v>
      </c>
      <c r="O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 x14ac:dyDescent="0.25">
      <c r="A10" s="174" t="s">
        <v>101</v>
      </c>
      <c r="B10" s="190"/>
      <c r="C10" s="190"/>
      <c r="D10" s="190"/>
      <c r="E10" s="190"/>
      <c r="F10" s="190"/>
      <c r="G10" s="191"/>
      <c r="H10" s="191"/>
      <c r="I10" s="183"/>
      <c r="J10" s="182"/>
      <c r="K10" s="182"/>
      <c r="L10" s="182"/>
      <c r="M10" s="182"/>
      <c r="N10" s="182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92" t="s">
        <v>144</v>
      </c>
      <c r="B11" s="190"/>
      <c r="C11" s="190"/>
      <c r="D11" s="190"/>
      <c r="E11" s="190"/>
      <c r="F11" s="190"/>
      <c r="G11" s="191"/>
      <c r="H11" s="191"/>
      <c r="I11" s="183"/>
      <c r="J11" s="182"/>
      <c r="K11" s="182"/>
      <c r="L11" s="182"/>
      <c r="M11" s="182"/>
      <c r="N11" s="182"/>
      <c r="O11" s="52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thickBot="1" x14ac:dyDescent="0.3">
      <c r="A12" s="185">
        <v>42037</v>
      </c>
      <c r="B12" s="186">
        <v>4097.53</v>
      </c>
      <c r="C12" s="186"/>
      <c r="D12" s="186"/>
      <c r="E12" s="186"/>
      <c r="F12" s="186">
        <v>81.95</v>
      </c>
      <c r="G12" s="187"/>
      <c r="H12" s="68"/>
      <c r="I12" s="188">
        <f>SUM(B12:H12)</f>
        <v>4179.4799999999996</v>
      </c>
      <c r="J12" s="189">
        <v>411.3</v>
      </c>
      <c r="K12" s="189">
        <v>211.71</v>
      </c>
      <c r="L12" s="189">
        <f>148.08+62.15+2.6</f>
        <v>212.83</v>
      </c>
      <c r="M12" s="189">
        <f>J12+K12+L12</f>
        <v>835.84</v>
      </c>
      <c r="N12" s="189">
        <f>I12-M12</f>
        <v>3343.6399999999994</v>
      </c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thickTop="1" x14ac:dyDescent="0.25">
      <c r="A13" s="174" t="s">
        <v>103</v>
      </c>
      <c r="B13" s="190"/>
      <c r="C13" s="190"/>
      <c r="D13" s="190"/>
      <c r="E13" s="190"/>
      <c r="F13" s="190"/>
      <c r="G13" s="191"/>
      <c r="H13" s="191"/>
      <c r="I13" s="183"/>
      <c r="J13" s="182"/>
      <c r="K13" s="182"/>
      <c r="L13" s="182"/>
      <c r="M13" s="182"/>
      <c r="N13" s="182"/>
      <c r="O13" s="5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25">
      <c r="A14" s="192" t="s">
        <v>104</v>
      </c>
      <c r="B14" s="190"/>
      <c r="C14" s="190"/>
      <c r="D14" s="190"/>
      <c r="E14" s="190"/>
      <c r="F14" s="190"/>
      <c r="G14" s="191"/>
      <c r="H14" s="191"/>
      <c r="I14" s="183"/>
      <c r="J14" s="182"/>
      <c r="K14" s="182"/>
      <c r="L14" s="182"/>
      <c r="M14" s="182"/>
      <c r="N14" s="182"/>
      <c r="O14" s="5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thickBot="1" x14ac:dyDescent="0.3">
      <c r="A15" s="185">
        <v>41319</v>
      </c>
      <c r="B15" s="186">
        <v>6678.33</v>
      </c>
      <c r="C15" s="186"/>
      <c r="D15" s="186"/>
      <c r="E15" s="186"/>
      <c r="F15" s="186">
        <v>133.56</v>
      </c>
      <c r="G15" s="187">
        <v>3005.25</v>
      </c>
      <c r="H15" s="68"/>
      <c r="I15" s="188">
        <f>SUM(B15:H15)</f>
        <v>9817.14</v>
      </c>
      <c r="J15" s="189">
        <v>877.22</v>
      </c>
      <c r="K15" s="189">
        <v>1484.84</v>
      </c>
      <c r="L15" s="189">
        <f>302.51+934.44+88.71+62.15+2.6</f>
        <v>1390.41</v>
      </c>
      <c r="M15" s="189">
        <f>J15+K15+L15</f>
        <v>3752.4700000000003</v>
      </c>
      <c r="N15" s="189">
        <f>I15-M15</f>
        <v>6064.6699999999992</v>
      </c>
      <c r="O15" s="5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thickTop="1" x14ac:dyDescent="0.25">
      <c r="A16" s="174" t="s">
        <v>105</v>
      </c>
      <c r="B16" s="193"/>
      <c r="C16" s="193"/>
      <c r="D16" s="193"/>
      <c r="E16" s="193"/>
      <c r="F16" s="193"/>
      <c r="G16" s="194"/>
      <c r="H16" s="72"/>
      <c r="I16" s="195"/>
      <c r="J16" s="196"/>
      <c r="K16" s="196"/>
      <c r="L16" s="196"/>
      <c r="M16" s="196"/>
      <c r="N16" s="196"/>
      <c r="O16" s="5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25">
      <c r="A17" s="197" t="s">
        <v>106</v>
      </c>
      <c r="B17" s="193"/>
      <c r="C17" s="193"/>
      <c r="D17" s="193"/>
      <c r="E17" s="193"/>
      <c r="F17" s="193"/>
      <c r="G17" s="194"/>
      <c r="H17" s="72"/>
      <c r="I17" s="195"/>
      <c r="J17" s="196"/>
      <c r="K17" s="196"/>
      <c r="L17" s="196"/>
      <c r="M17" s="196"/>
      <c r="N17" s="196"/>
      <c r="O17" s="5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thickBot="1" x14ac:dyDescent="0.3">
      <c r="A18" s="198">
        <v>44522</v>
      </c>
      <c r="B18" s="189">
        <v>3578.94</v>
      </c>
      <c r="C18" s="189"/>
      <c r="D18" s="189"/>
      <c r="E18" s="189"/>
      <c r="F18" s="189"/>
      <c r="G18" s="188"/>
      <c r="H18" s="74"/>
      <c r="I18" s="188">
        <f>SUM(B18:H18)</f>
        <v>3578.94</v>
      </c>
      <c r="J18" s="189">
        <v>332.79</v>
      </c>
      <c r="K18" s="189">
        <v>103.68</v>
      </c>
      <c r="L18" s="189">
        <f>129.12+198.63+62.15+2.6</f>
        <v>392.5</v>
      </c>
      <c r="M18" s="189">
        <f>J18+K18+L18</f>
        <v>828.97</v>
      </c>
      <c r="N18" s="189">
        <f>I18-M18</f>
        <v>2749.9700000000003</v>
      </c>
      <c r="O18" s="5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Top="1" x14ac:dyDescent="0.25">
      <c r="A19" s="199" t="s">
        <v>145</v>
      </c>
      <c r="B19" s="182"/>
      <c r="C19" s="182"/>
      <c r="D19" s="182"/>
      <c r="E19" s="182"/>
      <c r="F19" s="182"/>
      <c r="G19" s="183"/>
      <c r="H19" s="183"/>
      <c r="I19" s="183"/>
      <c r="J19" s="182"/>
      <c r="K19" s="182"/>
      <c r="L19" s="182"/>
      <c r="M19" s="182"/>
      <c r="N19" s="182"/>
      <c r="O19" s="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92" t="s">
        <v>146</v>
      </c>
      <c r="B20" s="182"/>
      <c r="C20" s="182"/>
      <c r="D20" s="182"/>
      <c r="E20" s="182"/>
      <c r="F20" s="182"/>
      <c r="G20" s="183"/>
      <c r="H20" s="183"/>
      <c r="I20" s="183"/>
      <c r="J20" s="182"/>
      <c r="K20" s="182"/>
      <c r="L20" s="182"/>
      <c r="M20" s="182"/>
      <c r="N20" s="182"/>
      <c r="O20" s="5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thickBot="1" x14ac:dyDescent="0.3">
      <c r="A21" s="198">
        <v>44608</v>
      </c>
      <c r="B21" s="189">
        <v>4000</v>
      </c>
      <c r="C21" s="189"/>
      <c r="D21" s="189"/>
      <c r="E21" s="189"/>
      <c r="F21" s="189"/>
      <c r="G21" s="188"/>
      <c r="H21" s="74"/>
      <c r="I21" s="188">
        <f>SUM(B21:H21)</f>
        <v>4000</v>
      </c>
      <c r="J21" s="189">
        <v>386.17</v>
      </c>
      <c r="K21" s="59">
        <v>158.84</v>
      </c>
      <c r="L21" s="189">
        <f>62.15+1.3</f>
        <v>63.449999999999996</v>
      </c>
      <c r="M21" s="189">
        <f>SUM(J21:L21)</f>
        <v>608.46</v>
      </c>
      <c r="N21" s="189">
        <f>I21-M21</f>
        <v>3391.54</v>
      </c>
      <c r="O21" s="5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thickTop="1" x14ac:dyDescent="0.25">
      <c r="A22" s="3" t="s">
        <v>166</v>
      </c>
      <c r="B22" s="182"/>
      <c r="C22" s="182"/>
      <c r="D22" s="182"/>
      <c r="E22" s="182"/>
      <c r="F22" s="182"/>
      <c r="G22" s="183"/>
      <c r="H22" s="183"/>
      <c r="I22" s="183"/>
      <c r="J22" s="182"/>
      <c r="K22" s="182"/>
      <c r="L22" s="182"/>
      <c r="M22" s="182"/>
      <c r="N22" s="182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92" t="s">
        <v>110</v>
      </c>
      <c r="B23" s="182"/>
      <c r="C23" s="182"/>
      <c r="D23" s="182"/>
      <c r="E23" s="182"/>
      <c r="F23" s="182"/>
      <c r="G23" s="183"/>
      <c r="H23" s="183"/>
      <c r="I23" s="183"/>
      <c r="J23" s="182"/>
      <c r="K23" s="182"/>
      <c r="L23" s="182"/>
      <c r="M23" s="182"/>
      <c r="N23" s="182"/>
      <c r="O23" s="5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thickBot="1" x14ac:dyDescent="0.3">
      <c r="A24" s="198">
        <v>43739</v>
      </c>
      <c r="B24" s="189">
        <v>3829.46</v>
      </c>
      <c r="C24" s="189"/>
      <c r="D24" s="189"/>
      <c r="E24" s="189"/>
      <c r="F24" s="189"/>
      <c r="G24" s="188"/>
      <c r="H24" s="74"/>
      <c r="I24" s="188">
        <f>SUM(B24:H24)</f>
        <v>3829.46</v>
      </c>
      <c r="J24" s="189">
        <v>362.86</v>
      </c>
      <c r="K24" s="59">
        <v>165.19</v>
      </c>
      <c r="L24" s="189">
        <f>153.34+59.14+62.15+2.47</f>
        <v>277.10000000000002</v>
      </c>
      <c r="M24" s="189">
        <f>SUM(J24:L24)</f>
        <v>805.15</v>
      </c>
      <c r="N24" s="189">
        <f>I24-M24</f>
        <v>3024.31</v>
      </c>
      <c r="O24" s="5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 customHeight="1" thickTop="1" x14ac:dyDescent="0.25">
      <c r="A25" s="174" t="s">
        <v>111</v>
      </c>
      <c r="B25" s="182"/>
      <c r="C25" s="182"/>
      <c r="D25" s="182"/>
      <c r="E25" s="182"/>
      <c r="F25" s="182"/>
      <c r="G25" s="183"/>
      <c r="H25" s="183"/>
      <c r="I25" s="183"/>
      <c r="J25" s="182"/>
      <c r="K25" s="182"/>
      <c r="L25" s="182"/>
      <c r="M25" s="182"/>
      <c r="N25" s="182"/>
      <c r="O25" s="5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 customHeight="1" x14ac:dyDescent="0.25">
      <c r="A26" s="184" t="s">
        <v>100</v>
      </c>
      <c r="B26" s="182"/>
      <c r="C26" s="182"/>
      <c r="D26" s="182"/>
      <c r="E26" s="182"/>
      <c r="F26" s="182"/>
      <c r="G26" s="183"/>
      <c r="H26" s="183"/>
      <c r="I26" s="183"/>
      <c r="J26" s="182"/>
      <c r="K26" s="182"/>
      <c r="L26" s="182"/>
      <c r="M26" s="182"/>
      <c r="N26" s="182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4.25" customHeight="1" thickBot="1" x14ac:dyDescent="0.3">
      <c r="A27" s="185">
        <v>43648</v>
      </c>
      <c r="B27" s="186">
        <v>1923.41</v>
      </c>
      <c r="C27" s="186"/>
      <c r="D27" s="186"/>
      <c r="E27" s="186"/>
      <c r="F27" s="186"/>
      <c r="G27" s="187"/>
      <c r="H27" s="68"/>
      <c r="I27" s="188">
        <f>SUM(B27:H27)</f>
        <v>1923.41</v>
      </c>
      <c r="J27" s="189">
        <v>153.57</v>
      </c>
      <c r="K27" s="189"/>
      <c r="L27" s="189">
        <f>62.15+1.43</f>
        <v>63.58</v>
      </c>
      <c r="M27" s="189">
        <f>SUM(J27:L27)</f>
        <v>217.14999999999998</v>
      </c>
      <c r="N27" s="189">
        <f>I27-M27</f>
        <v>1706.2600000000002</v>
      </c>
      <c r="O27" s="5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thickTop="1" x14ac:dyDescent="0.25">
      <c r="A28" s="174" t="s">
        <v>112</v>
      </c>
      <c r="B28" s="182"/>
      <c r="C28" s="182"/>
      <c r="D28" s="182"/>
      <c r="E28" s="182"/>
      <c r="F28" s="182"/>
      <c r="G28" s="183"/>
      <c r="H28" s="183"/>
      <c r="I28" s="183"/>
      <c r="J28" s="182"/>
      <c r="K28" s="182"/>
      <c r="L28" s="182"/>
      <c r="M28" s="182"/>
      <c r="N28" s="182"/>
      <c r="O28" s="5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25">
      <c r="A29" s="184" t="s">
        <v>113</v>
      </c>
      <c r="B29" s="182"/>
      <c r="C29" s="182"/>
      <c r="D29" s="182"/>
      <c r="E29" s="182"/>
      <c r="F29" s="182"/>
      <c r="G29" s="183"/>
      <c r="H29" s="183"/>
      <c r="I29" s="183"/>
      <c r="J29" s="182"/>
      <c r="K29" s="182"/>
      <c r="L29" s="182"/>
      <c r="M29" s="182"/>
      <c r="N29" s="18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thickBot="1" x14ac:dyDescent="0.3">
      <c r="A30" s="185">
        <v>44580</v>
      </c>
      <c r="B30" s="186">
        <f>1154.5+2424.44</f>
        <v>3578.94</v>
      </c>
      <c r="C30" s="186"/>
      <c r="D30" s="186"/>
      <c r="E30" s="186"/>
      <c r="F30" s="186"/>
      <c r="G30" s="187"/>
      <c r="H30" s="68"/>
      <c r="I30" s="188">
        <f>SUM(B30:H30)</f>
        <v>3578.94</v>
      </c>
      <c r="J30" s="189">
        <v>332.79</v>
      </c>
      <c r="K30" s="189">
        <v>132.12</v>
      </c>
      <c r="L30" s="189">
        <f>35.79+62.15</f>
        <v>97.94</v>
      </c>
      <c r="M30" s="189">
        <f>SUM(J30:L30)</f>
        <v>562.85</v>
      </c>
      <c r="N30" s="189">
        <f>I30-M30</f>
        <v>3016.09</v>
      </c>
      <c r="O30" s="5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thickTop="1" x14ac:dyDescent="0.25">
      <c r="A31" s="199" t="s">
        <v>114</v>
      </c>
      <c r="B31" s="200"/>
      <c r="C31" s="200"/>
      <c r="D31" s="200"/>
      <c r="E31" s="200"/>
      <c r="F31" s="200"/>
      <c r="G31" s="201"/>
      <c r="H31" s="201"/>
      <c r="I31" s="201"/>
      <c r="J31" s="200"/>
      <c r="K31" s="200"/>
      <c r="L31" s="200"/>
      <c r="M31" s="200"/>
      <c r="N31" s="200"/>
      <c r="O31" s="5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25">
      <c r="A32" s="192" t="s">
        <v>167</v>
      </c>
      <c r="B32" s="190"/>
      <c r="C32" s="190"/>
      <c r="D32" s="190"/>
      <c r="E32" s="190"/>
      <c r="F32" s="190"/>
      <c r="G32" s="191"/>
      <c r="H32" s="191"/>
      <c r="I32" s="183"/>
      <c r="J32" s="182"/>
      <c r="K32" s="182"/>
      <c r="L32" s="182"/>
      <c r="M32" s="182"/>
      <c r="N32" s="182"/>
      <c r="O32" s="5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thickBot="1" x14ac:dyDescent="0.3">
      <c r="A33" s="185">
        <v>43325</v>
      </c>
      <c r="B33" s="186">
        <v>2058.0500000000002</v>
      </c>
      <c r="C33" s="186"/>
      <c r="D33" s="186"/>
      <c r="E33" s="186"/>
      <c r="F33" s="186"/>
      <c r="G33" s="187"/>
      <c r="H33" s="68"/>
      <c r="I33" s="188">
        <f>SUM(B33:H33)</f>
        <v>2058.0500000000002</v>
      </c>
      <c r="J33" s="59">
        <v>165.69</v>
      </c>
      <c r="K33" s="189"/>
      <c r="L33" s="59">
        <f>141.48+29.57+62.15+2.6</f>
        <v>235.79999999999998</v>
      </c>
      <c r="M33" s="189">
        <f>SUM(J33:L33)</f>
        <v>401.49</v>
      </c>
      <c r="N33" s="189">
        <f>I33-M33</f>
        <v>1656.5600000000002</v>
      </c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thickTop="1" x14ac:dyDescent="0.25">
      <c r="A34" s="174" t="s">
        <v>115</v>
      </c>
      <c r="B34" s="190"/>
      <c r="C34" s="190"/>
      <c r="D34" s="190"/>
      <c r="E34" s="190"/>
      <c r="F34" s="190"/>
      <c r="G34" s="191"/>
      <c r="H34" s="191"/>
      <c r="I34" s="183"/>
      <c r="J34" s="182"/>
      <c r="K34" s="182"/>
      <c r="L34" s="182"/>
      <c r="M34" s="182"/>
      <c r="N34" s="182"/>
      <c r="O34" s="5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5">
      <c r="A35" s="184" t="s">
        <v>161</v>
      </c>
      <c r="B35" s="190"/>
      <c r="C35" s="190"/>
      <c r="D35" s="190"/>
      <c r="E35" s="190"/>
      <c r="F35" s="190"/>
      <c r="G35" s="191"/>
      <c r="H35" s="191"/>
      <c r="I35" s="183"/>
      <c r="J35" s="182"/>
      <c r="K35" s="182"/>
      <c r="L35" s="182"/>
      <c r="M35" s="182"/>
      <c r="N35" s="18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thickBot="1" x14ac:dyDescent="0.3">
      <c r="A36" s="185">
        <v>43325</v>
      </c>
      <c r="B36" s="186">
        <v>1984.55</v>
      </c>
      <c r="C36" s="186"/>
      <c r="D36" s="186"/>
      <c r="E36" s="186">
        <v>1079.73</v>
      </c>
      <c r="F36" s="186"/>
      <c r="G36" s="187"/>
      <c r="H36" s="68"/>
      <c r="I36" s="188">
        <f>SUM(B36:H36)</f>
        <v>3064.2799999999997</v>
      </c>
      <c r="J36" s="189">
        <f>160.7+80.97</f>
        <v>241.67</v>
      </c>
      <c r="K36" s="189"/>
      <c r="L36" s="189">
        <f>78.06+20.58+62.15+2.34</f>
        <v>163.13</v>
      </c>
      <c r="M36" s="189">
        <f>J36+K36+L36</f>
        <v>404.79999999999995</v>
      </c>
      <c r="N36" s="189">
        <f>I36-M36</f>
        <v>2659.4799999999996</v>
      </c>
      <c r="O36" s="5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thickTop="1" x14ac:dyDescent="0.25">
      <c r="A37" s="174" t="s">
        <v>117</v>
      </c>
      <c r="B37" s="182"/>
      <c r="C37" s="182"/>
      <c r="D37" s="182"/>
      <c r="E37" s="182"/>
      <c r="F37" s="182"/>
      <c r="G37" s="183"/>
      <c r="H37" s="183"/>
      <c r="I37" s="183"/>
      <c r="J37" s="182"/>
      <c r="K37" s="182"/>
      <c r="L37" s="182"/>
      <c r="M37" s="182"/>
      <c r="N37" s="182"/>
      <c r="O37" s="5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25">
      <c r="A38" s="192" t="s">
        <v>100</v>
      </c>
      <c r="B38" s="182"/>
      <c r="C38" s="182"/>
      <c r="D38" s="182"/>
      <c r="E38" s="182"/>
      <c r="F38" s="182"/>
      <c r="G38" s="183"/>
      <c r="H38" s="183"/>
      <c r="I38" s="183"/>
      <c r="J38" s="182"/>
      <c r="K38" s="182"/>
      <c r="L38" s="182"/>
      <c r="M38" s="182"/>
      <c r="N38" s="182"/>
      <c r="O38" s="5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thickBot="1" x14ac:dyDescent="0.3">
      <c r="A39" s="202">
        <v>43479</v>
      </c>
      <c r="B39" s="189">
        <v>2058.0500000000002</v>
      </c>
      <c r="C39" s="189"/>
      <c r="D39" s="189"/>
      <c r="E39" s="189"/>
      <c r="F39" s="189"/>
      <c r="G39" s="188">
        <v>66.150000000000006</v>
      </c>
      <c r="H39" s="74"/>
      <c r="I39" s="188">
        <f>SUM(B39:H39)</f>
        <v>2124.2000000000003</v>
      </c>
      <c r="J39" s="189">
        <v>171.64</v>
      </c>
      <c r="K39" s="189"/>
      <c r="L39" s="189">
        <f>105.34+20.58+62.15+2.6</f>
        <v>190.67</v>
      </c>
      <c r="M39" s="189">
        <f>J39+K39+L39</f>
        <v>362.30999999999995</v>
      </c>
      <c r="N39" s="189">
        <f>I39-M39</f>
        <v>1761.8900000000003</v>
      </c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thickTop="1" x14ac:dyDescent="0.25">
      <c r="A40" s="174" t="s">
        <v>118</v>
      </c>
      <c r="B40" s="196"/>
      <c r="C40" s="196"/>
      <c r="D40" s="196"/>
      <c r="E40" s="196"/>
      <c r="F40" s="196"/>
      <c r="G40" s="195"/>
      <c r="H40" s="103"/>
      <c r="I40" s="195"/>
      <c r="J40" s="196"/>
      <c r="K40" s="196"/>
      <c r="L40" s="196"/>
      <c r="M40" s="196"/>
      <c r="N40" s="196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25">
      <c r="A41" s="192" t="s">
        <v>119</v>
      </c>
      <c r="B41" s="182"/>
      <c r="C41" s="182"/>
      <c r="D41" s="182"/>
      <c r="E41" s="182"/>
      <c r="F41" s="182"/>
      <c r="G41" s="183"/>
      <c r="H41" s="183"/>
      <c r="I41" s="183"/>
      <c r="J41" s="182"/>
      <c r="K41" s="182"/>
      <c r="L41" s="182"/>
      <c r="M41" s="182"/>
      <c r="N41" s="182"/>
      <c r="O41" s="5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thickBot="1" x14ac:dyDescent="0.3">
      <c r="A42" s="202">
        <v>44341</v>
      </c>
      <c r="B42" s="189">
        <v>1797.58</v>
      </c>
      <c r="C42" s="189"/>
      <c r="D42" s="189"/>
      <c r="E42" s="189"/>
      <c r="F42" s="189"/>
      <c r="G42" s="188"/>
      <c r="H42" s="74"/>
      <c r="I42" s="188">
        <f>SUM(B42:H42)</f>
        <v>1797.58</v>
      </c>
      <c r="J42" s="189">
        <v>142.25</v>
      </c>
      <c r="K42" s="189"/>
      <c r="L42" s="189">
        <f>147.85+62.15+2.47</f>
        <v>212.47</v>
      </c>
      <c r="M42" s="189">
        <f>J42+K42+L42</f>
        <v>354.72</v>
      </c>
      <c r="N42" s="189">
        <f>I42-M42</f>
        <v>1442.86</v>
      </c>
      <c r="O42" s="5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73" customFormat="1" ht="15.75" customHeight="1" thickTop="1" x14ac:dyDescent="0.25">
      <c r="A43" s="174" t="s">
        <v>128</v>
      </c>
      <c r="B43" s="190"/>
      <c r="C43" s="190"/>
      <c r="D43" s="190"/>
      <c r="E43" s="190"/>
      <c r="F43" s="190"/>
      <c r="G43" s="191"/>
      <c r="H43" s="191"/>
      <c r="I43" s="183"/>
      <c r="J43" s="182"/>
      <c r="K43" s="182"/>
      <c r="L43" s="182"/>
      <c r="M43" s="182"/>
      <c r="N43" s="182"/>
      <c r="O43" s="171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</row>
    <row r="44" spans="1:34" ht="15.75" customHeight="1" x14ac:dyDescent="0.25">
      <c r="A44" s="184" t="s">
        <v>161</v>
      </c>
      <c r="B44" s="190"/>
      <c r="C44" s="190"/>
      <c r="D44" s="190"/>
      <c r="E44" s="190"/>
      <c r="F44" s="190"/>
      <c r="G44" s="191"/>
      <c r="H44" s="191"/>
      <c r="I44" s="183"/>
      <c r="J44" s="182"/>
      <c r="K44" s="182"/>
      <c r="L44" s="182"/>
      <c r="M44" s="182"/>
      <c r="N44" s="182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thickBot="1" x14ac:dyDescent="0.3">
      <c r="A45" s="185">
        <v>43325</v>
      </c>
      <c r="B45" s="186">
        <v>1911.05</v>
      </c>
      <c r="C45" s="186"/>
      <c r="D45" s="186"/>
      <c r="E45" s="186">
        <v>663.15</v>
      </c>
      <c r="F45" s="186"/>
      <c r="G45" s="187">
        <v>859.97</v>
      </c>
      <c r="H45" s="68"/>
      <c r="I45" s="188">
        <f>SUM(B45:H45)</f>
        <v>3434.17</v>
      </c>
      <c r="J45" s="189">
        <f>247.78+49.73</f>
        <v>297.51</v>
      </c>
      <c r="K45" s="189">
        <v>46.44</v>
      </c>
      <c r="L45" s="189">
        <f>230.45+20.58+62.15+2.47</f>
        <v>315.64999999999998</v>
      </c>
      <c r="M45" s="189">
        <f>J45+K45+L45</f>
        <v>659.59999999999991</v>
      </c>
      <c r="N45" s="189">
        <f>I45-M45</f>
        <v>2774.57</v>
      </c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thickTop="1" x14ac:dyDescent="0.25">
      <c r="A46" s="197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97"/>
      <c r="B47" s="193"/>
      <c r="C47" s="193"/>
      <c r="D47" s="193"/>
      <c r="E47" s="193"/>
      <c r="F47" s="193"/>
      <c r="G47" s="194"/>
      <c r="H47" s="72"/>
      <c r="I47" s="195"/>
      <c r="J47" s="196"/>
      <c r="K47" s="196"/>
      <c r="L47" s="196"/>
      <c r="M47" s="196"/>
      <c r="N47" s="196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97"/>
      <c r="B48" s="193"/>
      <c r="C48" s="193"/>
      <c r="D48" s="193"/>
      <c r="E48" s="193"/>
      <c r="F48" s="193"/>
      <c r="G48" s="194"/>
      <c r="H48" s="72"/>
      <c r="I48" s="195"/>
      <c r="J48" s="196"/>
      <c r="K48" s="196"/>
      <c r="L48" s="196"/>
      <c r="M48" s="196"/>
      <c r="N48" s="196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 customHeight="1" x14ac:dyDescent="0.25">
      <c r="A49" s="203"/>
      <c r="B49" s="196"/>
      <c r="C49" s="196"/>
      <c r="D49" s="196"/>
      <c r="E49" s="196"/>
      <c r="F49" s="196"/>
      <c r="G49" s="195"/>
      <c r="H49" s="103"/>
      <c r="I49" s="195"/>
      <c r="J49" s="196"/>
      <c r="K49" s="196"/>
      <c r="L49" s="196"/>
      <c r="M49" s="196"/>
      <c r="N49" s="196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272" t="s">
        <v>159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thickBot="1" x14ac:dyDescent="0.3">
      <c r="A51" s="109" t="s">
        <v>143</v>
      </c>
      <c r="B51" s="175">
        <v>2023</v>
      </c>
      <c r="C51" s="175"/>
      <c r="D51" s="175"/>
      <c r="E51" s="204"/>
      <c r="F51" s="204"/>
      <c r="G51" s="205"/>
      <c r="H51" s="205"/>
      <c r="I51" s="205"/>
      <c r="J51" s="204"/>
      <c r="K51" s="204"/>
      <c r="L51" s="204"/>
      <c r="M51" s="204"/>
      <c r="N51" s="204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 x14ac:dyDescent="0.25">
      <c r="A52" s="178" t="s">
        <v>2</v>
      </c>
      <c r="B52" s="269" t="s">
        <v>3</v>
      </c>
      <c r="C52" s="269" t="s">
        <v>164</v>
      </c>
      <c r="D52" s="269" t="s">
        <v>165</v>
      </c>
      <c r="E52" s="269" t="s">
        <v>92</v>
      </c>
      <c r="F52" s="276" t="s">
        <v>93</v>
      </c>
      <c r="G52" s="277" t="s">
        <v>8</v>
      </c>
      <c r="H52" s="279" t="s">
        <v>94</v>
      </c>
      <c r="I52" s="279" t="s">
        <v>9</v>
      </c>
      <c r="J52" s="269" t="s">
        <v>11</v>
      </c>
      <c r="K52" s="269" t="s">
        <v>95</v>
      </c>
      <c r="L52" s="276" t="s">
        <v>12</v>
      </c>
      <c r="M52" s="276" t="s">
        <v>13</v>
      </c>
      <c r="N52" s="276" t="s">
        <v>14</v>
      </c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179" t="s">
        <v>15</v>
      </c>
      <c r="B53" s="270"/>
      <c r="C53" s="270"/>
      <c r="D53" s="270"/>
      <c r="E53" s="270"/>
      <c r="F53" s="270"/>
      <c r="G53" s="277"/>
      <c r="H53" s="270"/>
      <c r="I53" s="270"/>
      <c r="J53" s="270"/>
      <c r="K53" s="270"/>
      <c r="L53" s="270"/>
      <c r="M53" s="270"/>
      <c r="N53" s="270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x14ac:dyDescent="0.25">
      <c r="A54" s="222" t="s">
        <v>16</v>
      </c>
      <c r="B54" s="271"/>
      <c r="C54" s="271"/>
      <c r="D54" s="271"/>
      <c r="E54" s="271"/>
      <c r="F54" s="271"/>
      <c r="G54" s="278"/>
      <c r="H54" s="271"/>
      <c r="I54" s="271"/>
      <c r="J54" s="271"/>
      <c r="K54" s="271"/>
      <c r="L54" s="271"/>
      <c r="M54" s="271"/>
      <c r="N54" s="271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thickBot="1" x14ac:dyDescent="0.3">
      <c r="A55" s="223" t="s">
        <v>120</v>
      </c>
      <c r="B55" s="274"/>
      <c r="C55" s="274"/>
      <c r="D55" s="274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thickTop="1" x14ac:dyDescent="0.25">
      <c r="A56" s="174" t="s">
        <v>121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197" t="s">
        <v>122</v>
      </c>
      <c r="B57" s="193"/>
      <c r="C57" s="193"/>
      <c r="D57" s="193"/>
      <c r="E57" s="193"/>
      <c r="F57" s="193"/>
      <c r="G57" s="194"/>
      <c r="H57" s="194"/>
      <c r="I57" s="195"/>
      <c r="J57" s="196"/>
      <c r="K57" s="196"/>
      <c r="L57" s="196"/>
      <c r="M57" s="196"/>
      <c r="N57" s="196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thickBot="1" x14ac:dyDescent="0.3">
      <c r="A58" s="50">
        <v>38054</v>
      </c>
      <c r="B58" s="186">
        <v>2886.52</v>
      </c>
      <c r="C58" s="186"/>
      <c r="D58" s="186"/>
      <c r="E58" s="186"/>
      <c r="F58" s="186">
        <v>57.73</v>
      </c>
      <c r="G58" s="187">
        <v>1298.94</v>
      </c>
      <c r="H58" s="187"/>
      <c r="I58" s="188">
        <f>SUM(B58:H58)</f>
        <v>4243.1900000000005</v>
      </c>
      <c r="J58" s="189">
        <v>420.22</v>
      </c>
      <c r="K58" s="189">
        <v>224.04</v>
      </c>
      <c r="L58" s="189">
        <f>148.08+62.15+2.6</f>
        <v>212.83</v>
      </c>
      <c r="M58" s="189">
        <f>J58+K58+L58</f>
        <v>857.09</v>
      </c>
      <c r="N58" s="189">
        <f>I58-M58</f>
        <v>3386.1000000000004</v>
      </c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Top="1" x14ac:dyDescent="0.25">
      <c r="A59" s="174" t="s">
        <v>123</v>
      </c>
      <c r="B59" s="193"/>
      <c r="C59" s="193"/>
      <c r="D59" s="193"/>
      <c r="E59" s="193"/>
      <c r="F59" s="193"/>
      <c r="G59" s="194"/>
      <c r="H59" s="194"/>
      <c r="I59" s="195"/>
      <c r="J59" s="196"/>
      <c r="K59" s="196"/>
      <c r="L59" s="196"/>
      <c r="M59" s="196"/>
      <c r="N59" s="196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97" t="s">
        <v>108</v>
      </c>
      <c r="B60" s="193"/>
      <c r="C60" s="193"/>
      <c r="D60" s="193"/>
      <c r="E60" s="193"/>
      <c r="F60" s="193"/>
      <c r="G60" s="194"/>
      <c r="H60" s="194"/>
      <c r="I60" s="195"/>
      <c r="J60" s="196"/>
      <c r="K60" s="196"/>
      <c r="L60" s="196"/>
      <c r="M60" s="196"/>
      <c r="N60" s="196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thickBot="1" x14ac:dyDescent="0.3">
      <c r="A61" s="50">
        <v>44319</v>
      </c>
      <c r="B61" s="186">
        <v>1797.58</v>
      </c>
      <c r="C61" s="186"/>
      <c r="D61" s="186"/>
      <c r="E61" s="186"/>
      <c r="F61" s="186"/>
      <c r="G61" s="187"/>
      <c r="H61" s="187"/>
      <c r="I61" s="188">
        <f>SUM(B61:H61)</f>
        <v>1797.58</v>
      </c>
      <c r="J61" s="189">
        <v>142.25</v>
      </c>
      <c r="K61" s="189"/>
      <c r="L61" s="189">
        <f>148.08+62.15+2.6</f>
        <v>212.83</v>
      </c>
      <c r="M61" s="189">
        <f>J61+K61+L61</f>
        <v>355.08000000000004</v>
      </c>
      <c r="N61" s="189">
        <f>I61-M61</f>
        <v>1442.5</v>
      </c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thickTop="1" x14ac:dyDescent="0.25">
      <c r="A62" s="174" t="s">
        <v>124</v>
      </c>
      <c r="B62" s="193"/>
      <c r="C62" s="193"/>
      <c r="D62" s="193"/>
      <c r="E62" s="193"/>
      <c r="F62" s="193"/>
      <c r="G62" s="194"/>
      <c r="H62" s="194"/>
      <c r="I62" s="195"/>
      <c r="J62" s="196"/>
      <c r="K62" s="196"/>
      <c r="L62" s="196"/>
      <c r="M62" s="196"/>
      <c r="N62" s="196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97" t="s">
        <v>116</v>
      </c>
      <c r="B63" s="193"/>
      <c r="C63" s="193"/>
      <c r="D63" s="193"/>
      <c r="E63" s="193"/>
      <c r="F63" s="193"/>
      <c r="G63" s="194"/>
      <c r="H63" s="194"/>
      <c r="I63" s="195"/>
      <c r="J63" s="196"/>
      <c r="K63" s="196"/>
      <c r="L63" s="196"/>
      <c r="M63" s="196"/>
      <c r="N63" s="196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thickBot="1" x14ac:dyDescent="0.3">
      <c r="A64" s="50">
        <v>43845</v>
      </c>
      <c r="B64" s="186">
        <v>1923.41</v>
      </c>
      <c r="C64" s="186"/>
      <c r="D64" s="186"/>
      <c r="E64" s="186"/>
      <c r="F64" s="186"/>
      <c r="G64" s="187"/>
      <c r="H64" s="187"/>
      <c r="I64" s="188">
        <f>SUM(B64:H64)</f>
        <v>1923.41</v>
      </c>
      <c r="J64" s="189">
        <v>153.57</v>
      </c>
      <c r="K64" s="189"/>
      <c r="L64" s="189">
        <f>253.52+19.23+62.15+2.6</f>
        <v>337.5</v>
      </c>
      <c r="M64" s="189">
        <f>J64+K64+L64</f>
        <v>491.07</v>
      </c>
      <c r="N64" s="189">
        <f>I64-M64</f>
        <v>1432.3400000000001</v>
      </c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thickTop="1" x14ac:dyDescent="0.25">
      <c r="A65" s="174" t="s">
        <v>125</v>
      </c>
      <c r="B65" s="193"/>
      <c r="C65" s="193"/>
      <c r="D65" s="193"/>
      <c r="E65" s="193"/>
      <c r="F65" s="193"/>
      <c r="G65" s="194"/>
      <c r="H65" s="194"/>
      <c r="I65" s="195"/>
      <c r="J65" s="196"/>
      <c r="K65" s="196"/>
      <c r="L65" s="196"/>
      <c r="M65" s="196"/>
      <c r="N65" s="196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97" t="s">
        <v>126</v>
      </c>
      <c r="B66" s="193"/>
      <c r="C66" s="193"/>
      <c r="D66" s="193"/>
      <c r="E66" s="193"/>
      <c r="F66" s="193"/>
      <c r="G66" s="194"/>
      <c r="H66" s="194"/>
      <c r="I66" s="195"/>
      <c r="J66" s="196"/>
      <c r="K66" s="196"/>
      <c r="L66" s="196"/>
      <c r="M66" s="196"/>
      <c r="N66" s="196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thickBot="1" x14ac:dyDescent="0.3">
      <c r="A67" s="50">
        <v>39783</v>
      </c>
      <c r="B67" s="186">
        <v>2886.52</v>
      </c>
      <c r="C67" s="186"/>
      <c r="D67" s="186"/>
      <c r="E67" s="186"/>
      <c r="F67" s="186">
        <v>57.73</v>
      </c>
      <c r="G67" s="187">
        <v>1298.93</v>
      </c>
      <c r="H67" s="187"/>
      <c r="I67" s="188">
        <f>SUM(B67:H67)</f>
        <v>4243.18</v>
      </c>
      <c r="J67" s="189">
        <v>420.22</v>
      </c>
      <c r="K67" s="189">
        <v>224.04</v>
      </c>
      <c r="L67" s="189">
        <f>118.49+430.4+88.71+62.15+2.6</f>
        <v>702.35</v>
      </c>
      <c r="M67" s="189">
        <f>J67+K67+L67</f>
        <v>1346.6100000000001</v>
      </c>
      <c r="N67" s="189">
        <f>I67-M67</f>
        <v>2896.57</v>
      </c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thickTop="1" x14ac:dyDescent="0.25">
      <c r="A68" s="199" t="s">
        <v>127</v>
      </c>
      <c r="B68" s="190"/>
      <c r="C68" s="190"/>
      <c r="D68" s="190"/>
      <c r="E68" s="208"/>
      <c r="F68" s="208"/>
      <c r="G68" s="209"/>
      <c r="H68" s="210"/>
      <c r="I68" s="211"/>
      <c r="J68" s="212"/>
      <c r="K68" s="212"/>
      <c r="L68" s="212"/>
      <c r="M68" s="212"/>
      <c r="N68" s="212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92" t="s">
        <v>161</v>
      </c>
      <c r="B69" s="190"/>
      <c r="C69" s="190"/>
      <c r="D69" s="190"/>
      <c r="E69" s="208"/>
      <c r="F69" s="208"/>
      <c r="G69" s="209"/>
      <c r="H69" s="210"/>
      <c r="I69" s="211"/>
      <c r="J69" s="212"/>
      <c r="K69" s="212"/>
      <c r="L69" s="212"/>
      <c r="M69" s="212"/>
      <c r="N69" s="212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thickBot="1" x14ac:dyDescent="0.3">
      <c r="A70" s="50">
        <v>43325</v>
      </c>
      <c r="B70" s="186">
        <v>2058.0500000000002</v>
      </c>
      <c r="C70" s="186"/>
      <c r="D70" s="186"/>
      <c r="E70" s="186"/>
      <c r="F70" s="186"/>
      <c r="G70" s="187"/>
      <c r="H70" s="187"/>
      <c r="I70" s="188">
        <f>SUM(B70:H70)</f>
        <v>2058.0500000000002</v>
      </c>
      <c r="J70" s="189">
        <v>165.69</v>
      </c>
      <c r="K70" s="189"/>
      <c r="L70" s="189">
        <f>78.06+29.57+62.15+2.6</f>
        <v>172.38</v>
      </c>
      <c r="M70" s="189">
        <f>J70+K70+L70</f>
        <v>338.07</v>
      </c>
      <c r="N70" s="189">
        <f>I70-M70</f>
        <v>1719.9800000000002</v>
      </c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Top="1" x14ac:dyDescent="0.25">
      <c r="A71" s="199" t="s">
        <v>155</v>
      </c>
      <c r="B71" s="190"/>
      <c r="C71" s="190"/>
      <c r="D71" s="190"/>
      <c r="E71" s="208"/>
      <c r="F71" s="208"/>
      <c r="G71" s="209"/>
      <c r="H71" s="210"/>
      <c r="I71" s="211"/>
      <c r="J71" s="212"/>
      <c r="K71" s="212"/>
      <c r="L71" s="212"/>
      <c r="M71" s="212"/>
      <c r="N71" s="212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192" t="s">
        <v>156</v>
      </c>
      <c r="B72" s="190"/>
      <c r="C72" s="190"/>
      <c r="D72" s="190"/>
      <c r="E72" s="208"/>
      <c r="F72" s="208"/>
      <c r="G72" s="209"/>
      <c r="H72" s="210"/>
      <c r="I72" s="211"/>
      <c r="J72" s="212"/>
      <c r="K72" s="212"/>
      <c r="L72" s="212"/>
      <c r="M72" s="212"/>
      <c r="N72" s="212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thickBot="1" x14ac:dyDescent="0.3">
      <c r="A73" s="50">
        <v>44686</v>
      </c>
      <c r="B73" s="186">
        <v>1797.58</v>
      </c>
      <c r="C73" s="186"/>
      <c r="D73" s="186"/>
      <c r="E73" s="186"/>
      <c r="F73" s="186"/>
      <c r="G73" s="187"/>
      <c r="H73" s="187"/>
      <c r="I73" s="188">
        <f>SUM(B73:H73)</f>
        <v>1797.58</v>
      </c>
      <c r="J73" s="189">
        <v>142.25</v>
      </c>
      <c r="K73" s="189"/>
      <c r="L73" s="189">
        <f>785.36+17.98+62.15+2.6</f>
        <v>868.09</v>
      </c>
      <c r="M73" s="189">
        <f>J73+K73+L73</f>
        <v>1010.34</v>
      </c>
      <c r="N73" s="189">
        <f>I73-M73</f>
        <v>787.2399999999999</v>
      </c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thickTop="1" x14ac:dyDescent="0.25">
      <c r="A74" s="22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5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 x14ac:dyDescent="0.25">
      <c r="A75" s="221" t="s">
        <v>129</v>
      </c>
      <c r="B75" s="217"/>
      <c r="C75" s="217"/>
      <c r="D75" s="217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 x14ac:dyDescent="0.25">
      <c r="A76" s="3" t="s">
        <v>130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192" t="s">
        <v>131</v>
      </c>
      <c r="B77" s="190"/>
      <c r="C77" s="190"/>
      <c r="D77" s="190"/>
      <c r="E77" s="208"/>
      <c r="F77" s="208"/>
      <c r="G77" s="209"/>
      <c r="H77" s="210"/>
      <c r="I77" s="211"/>
      <c r="J77" s="212"/>
      <c r="K77" s="212"/>
      <c r="L77" s="212"/>
      <c r="M77" s="212"/>
      <c r="N77" s="212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thickBot="1" x14ac:dyDescent="0.3">
      <c r="A78" s="50">
        <v>44509</v>
      </c>
      <c r="B78" s="186">
        <v>2663.52</v>
      </c>
      <c r="C78" s="186"/>
      <c r="D78" s="186"/>
      <c r="E78" s="186"/>
      <c r="F78" s="186"/>
      <c r="G78" s="187"/>
      <c r="H78" s="187"/>
      <c r="I78" s="188">
        <f>SUM(B78:H78)</f>
        <v>2663.52</v>
      </c>
      <c r="J78" s="189">
        <v>222.94</v>
      </c>
      <c r="K78" s="189">
        <v>40.24</v>
      </c>
      <c r="L78" s="189">
        <f>26.64+62.15+2.6</f>
        <v>91.389999999999986</v>
      </c>
      <c r="M78" s="189">
        <f>J78+K78+L78</f>
        <v>354.57</v>
      </c>
      <c r="N78" s="189">
        <f>I78-M78</f>
        <v>2308.9499999999998</v>
      </c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thickTop="1" x14ac:dyDescent="0.25">
      <c r="A79" s="174" t="s">
        <v>132</v>
      </c>
      <c r="B79" s="214"/>
      <c r="C79" s="214"/>
      <c r="D79" s="214"/>
      <c r="E79" s="214"/>
      <c r="F79" s="214"/>
      <c r="G79" s="214"/>
      <c r="H79" s="214"/>
      <c r="I79" s="215"/>
      <c r="J79" s="215"/>
      <c r="K79" s="215"/>
      <c r="L79" s="215"/>
      <c r="M79" s="215"/>
      <c r="N79" s="215"/>
      <c r="O79" s="5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 x14ac:dyDescent="0.25">
      <c r="A80" s="192" t="s">
        <v>162</v>
      </c>
      <c r="B80" s="190"/>
      <c r="C80" s="190"/>
      <c r="D80" s="190"/>
      <c r="E80" s="190"/>
      <c r="F80" s="190"/>
      <c r="G80" s="191"/>
      <c r="H80" s="191"/>
      <c r="I80" s="183"/>
      <c r="J80" s="182"/>
      <c r="K80" s="182"/>
      <c r="L80" s="182"/>
      <c r="M80" s="182"/>
      <c r="N80" s="182"/>
      <c r="O80" s="52"/>
      <c r="P80" s="1"/>
      <c r="Q80" s="1"/>
      <c r="R80" s="3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6.5" customHeight="1" thickBot="1" x14ac:dyDescent="0.3">
      <c r="A81" s="185">
        <v>43325</v>
      </c>
      <c r="B81" s="186">
        <v>3049.46</v>
      </c>
      <c r="C81" s="186"/>
      <c r="D81" s="186"/>
      <c r="E81" s="186"/>
      <c r="F81" s="186"/>
      <c r="G81" s="187">
        <v>1372.25</v>
      </c>
      <c r="H81" s="68"/>
      <c r="I81" s="188">
        <f>SUM(B81:H81)</f>
        <v>4421.71</v>
      </c>
      <c r="J81" s="189">
        <v>445.21</v>
      </c>
      <c r="K81" s="189">
        <v>184.8</v>
      </c>
      <c r="L81" s="189">
        <f>30.49+29.57+62.15+2.6</f>
        <v>124.81</v>
      </c>
      <c r="M81" s="189">
        <f>J81+K81+L81</f>
        <v>754.81999999999994</v>
      </c>
      <c r="N81" s="189">
        <f>I81-M81</f>
        <v>3666.8900000000003</v>
      </c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6.5" customHeight="1" thickTop="1" x14ac:dyDescent="0.25">
      <c r="A82" s="225"/>
      <c r="B82" s="193"/>
      <c r="C82" s="193"/>
      <c r="D82" s="193"/>
      <c r="E82" s="193"/>
      <c r="F82" s="193"/>
      <c r="G82" s="194"/>
      <c r="H82" s="72"/>
      <c r="I82" s="195"/>
      <c r="J82" s="196"/>
      <c r="K82" s="196"/>
      <c r="L82" s="196"/>
      <c r="M82" s="196"/>
      <c r="N82" s="196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221" t="s">
        <v>134</v>
      </c>
      <c r="B83" s="217"/>
      <c r="C83" s="217"/>
      <c r="D83" s="217"/>
      <c r="E83" s="216"/>
      <c r="F83" s="216"/>
      <c r="G83" s="216"/>
      <c r="H83" s="216"/>
      <c r="I83" s="216"/>
      <c r="J83" s="216"/>
      <c r="K83" s="216"/>
      <c r="L83" s="216"/>
      <c r="M83" s="216"/>
      <c r="N83" s="219"/>
      <c r="O83" s="5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 x14ac:dyDescent="0.25">
      <c r="A84" s="174" t="s">
        <v>135</v>
      </c>
      <c r="B84" s="214"/>
      <c r="C84" s="214"/>
      <c r="D84" s="214"/>
      <c r="E84" s="214"/>
      <c r="F84" s="214"/>
      <c r="G84" s="214"/>
      <c r="H84" s="214"/>
      <c r="I84" s="215"/>
      <c r="J84" s="215"/>
      <c r="K84" s="215"/>
      <c r="L84" s="215"/>
      <c r="M84" s="215"/>
      <c r="N84" s="215"/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x14ac:dyDescent="0.25">
      <c r="A85" s="192" t="s">
        <v>136</v>
      </c>
      <c r="B85" s="190"/>
      <c r="C85" s="190"/>
      <c r="D85" s="190"/>
      <c r="E85" s="190"/>
      <c r="F85" s="190"/>
      <c r="G85" s="191"/>
      <c r="H85" s="191"/>
      <c r="I85" s="183"/>
      <c r="J85" s="182"/>
      <c r="K85" s="182"/>
      <c r="L85" s="182"/>
      <c r="M85" s="182"/>
      <c r="N85" s="182"/>
      <c r="O85" s="52"/>
      <c r="P85" s="1"/>
      <c r="Q85" s="1"/>
      <c r="R85" s="3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6.5" customHeight="1" thickBot="1" x14ac:dyDescent="0.3">
      <c r="A86" s="185">
        <v>43675</v>
      </c>
      <c r="B86" s="186">
        <v>2849.96</v>
      </c>
      <c r="C86" s="186"/>
      <c r="D86" s="186"/>
      <c r="E86" s="186"/>
      <c r="F86" s="186"/>
      <c r="G86" s="187"/>
      <c r="H86" s="68"/>
      <c r="I86" s="188">
        <f>SUM(B86:H86)</f>
        <v>2849.96</v>
      </c>
      <c r="J86" s="189">
        <v>245.32</v>
      </c>
      <c r="K86" s="189">
        <v>52.55</v>
      </c>
      <c r="L86" s="189">
        <f>2.6+62.15+180.83</f>
        <v>245.58</v>
      </c>
      <c r="M86" s="189">
        <f>J86+K86+L86</f>
        <v>543.45000000000005</v>
      </c>
      <c r="N86" s="189">
        <f>I86-M86</f>
        <v>2306.5100000000002</v>
      </c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6.5" customHeight="1" thickTop="1" x14ac:dyDescent="0.25">
      <c r="A87" s="197"/>
      <c r="B87" s="193"/>
      <c r="C87" s="193"/>
      <c r="D87" s="193"/>
      <c r="E87" s="193"/>
      <c r="F87" s="193"/>
      <c r="G87" s="194"/>
      <c r="H87" s="72"/>
      <c r="I87" s="195"/>
      <c r="J87" s="196"/>
      <c r="K87" s="196"/>
      <c r="L87" s="196"/>
      <c r="M87" s="196"/>
      <c r="N87" s="196"/>
      <c r="O87" s="5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x14ac:dyDescent="0.25">
      <c r="A88" s="197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6.5" customHeight="1" x14ac:dyDescent="0.25">
      <c r="A89" s="197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6.5" customHeight="1" x14ac:dyDescent="0.25">
      <c r="A90" s="197"/>
      <c r="B90" s="193"/>
      <c r="C90" s="193"/>
      <c r="D90" s="193"/>
      <c r="E90" s="193"/>
      <c r="F90" s="193"/>
      <c r="G90" s="194"/>
      <c r="H90" s="72"/>
      <c r="I90" s="195"/>
      <c r="J90" s="196"/>
      <c r="K90" s="196"/>
      <c r="L90" s="196"/>
      <c r="M90" s="196"/>
      <c r="N90" s="196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6.5" customHeight="1" x14ac:dyDescent="0.25">
      <c r="A91" s="197"/>
      <c r="B91" s="193"/>
      <c r="C91" s="193"/>
      <c r="D91" s="193"/>
      <c r="E91" s="193"/>
      <c r="F91" s="193"/>
      <c r="G91" s="194"/>
      <c r="H91" s="72"/>
      <c r="I91" s="195"/>
      <c r="J91" s="196"/>
      <c r="K91" s="196"/>
      <c r="L91" s="196"/>
      <c r="M91" s="196"/>
      <c r="N91" s="196"/>
      <c r="O91" s="5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 x14ac:dyDescent="0.25">
      <c r="A92" s="272" t="s">
        <v>159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 thickBot="1" x14ac:dyDescent="0.3">
      <c r="A93" s="109" t="s">
        <v>143</v>
      </c>
      <c r="B93" s="175">
        <v>2023</v>
      </c>
      <c r="C93" s="175"/>
      <c r="D93" s="175"/>
      <c r="E93" s="204"/>
      <c r="F93" s="204"/>
      <c r="G93" s="205"/>
      <c r="H93" s="205"/>
      <c r="I93" s="205"/>
      <c r="J93" s="204"/>
      <c r="K93" s="204"/>
      <c r="L93" s="204"/>
      <c r="M93" s="204"/>
      <c r="N93" s="204"/>
      <c r="O93" s="5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 x14ac:dyDescent="0.25">
      <c r="A94" s="178" t="s">
        <v>2</v>
      </c>
      <c r="B94" s="269" t="s">
        <v>3</v>
      </c>
      <c r="C94" s="269" t="s">
        <v>164</v>
      </c>
      <c r="D94" s="269" t="s">
        <v>165</v>
      </c>
      <c r="E94" s="269" t="s">
        <v>92</v>
      </c>
      <c r="F94" s="276" t="s">
        <v>93</v>
      </c>
      <c r="G94" s="277" t="s">
        <v>8</v>
      </c>
      <c r="H94" s="279" t="s">
        <v>94</v>
      </c>
      <c r="I94" s="279" t="s">
        <v>9</v>
      </c>
      <c r="J94" s="269" t="s">
        <v>11</v>
      </c>
      <c r="K94" s="269" t="s">
        <v>95</v>
      </c>
      <c r="L94" s="276" t="s">
        <v>12</v>
      </c>
      <c r="M94" s="276" t="s">
        <v>13</v>
      </c>
      <c r="N94" s="276" t="s">
        <v>14</v>
      </c>
      <c r="O94" s="5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 x14ac:dyDescent="0.25">
      <c r="A95" s="179" t="s">
        <v>15</v>
      </c>
      <c r="B95" s="270"/>
      <c r="C95" s="270"/>
      <c r="D95" s="270"/>
      <c r="E95" s="270"/>
      <c r="F95" s="270"/>
      <c r="G95" s="277"/>
      <c r="H95" s="270"/>
      <c r="I95" s="270"/>
      <c r="J95" s="270"/>
      <c r="K95" s="270"/>
      <c r="L95" s="270"/>
      <c r="M95" s="270"/>
      <c r="N95" s="270"/>
      <c r="O95" s="5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 thickBot="1" x14ac:dyDescent="0.3">
      <c r="A96" s="180" t="s">
        <v>16</v>
      </c>
      <c r="B96" s="271"/>
      <c r="C96" s="271"/>
      <c r="D96" s="271"/>
      <c r="E96" s="271"/>
      <c r="F96" s="271"/>
      <c r="G96" s="278"/>
      <c r="H96" s="271"/>
      <c r="I96" s="271"/>
      <c r="J96" s="271"/>
      <c r="K96" s="271"/>
      <c r="L96" s="271"/>
      <c r="M96" s="271"/>
      <c r="N96" s="271"/>
      <c r="O96" s="5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 thickTop="1" x14ac:dyDescent="0.25">
      <c r="A97" s="206" t="s">
        <v>137</v>
      </c>
      <c r="B97" s="274"/>
      <c r="C97" s="274"/>
      <c r="D97" s="274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5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 x14ac:dyDescent="0.25">
      <c r="A98" s="8" t="s">
        <v>138</v>
      </c>
      <c r="B98" s="214"/>
      <c r="C98" s="214"/>
      <c r="D98" s="214"/>
      <c r="E98" s="214"/>
      <c r="F98" s="214"/>
      <c r="G98" s="214"/>
      <c r="H98" s="214"/>
      <c r="I98" s="215"/>
      <c r="J98" s="215"/>
      <c r="K98" s="215"/>
      <c r="L98" s="215"/>
      <c r="M98" s="215"/>
      <c r="N98" s="215"/>
      <c r="O98" s="5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 x14ac:dyDescent="0.25">
      <c r="A99" s="192" t="s">
        <v>131</v>
      </c>
      <c r="B99" s="190"/>
      <c r="C99" s="190"/>
      <c r="D99" s="190"/>
      <c r="E99" s="190"/>
      <c r="F99" s="190"/>
      <c r="G99" s="191"/>
      <c r="H99" s="191"/>
      <c r="I99" s="183"/>
      <c r="J99" s="182"/>
      <c r="K99" s="182"/>
      <c r="L99" s="182"/>
      <c r="M99" s="182"/>
      <c r="N99" s="182"/>
      <c r="O99" s="52"/>
      <c r="P99" s="1"/>
      <c r="Q99" s="1"/>
      <c r="R99" s="3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6.5" customHeight="1" thickBot="1" x14ac:dyDescent="0.3">
      <c r="A100" s="185">
        <v>44516</v>
      </c>
      <c r="B100" s="186">
        <v>2663.52</v>
      </c>
      <c r="C100" s="186"/>
      <c r="D100" s="186"/>
      <c r="E100" s="186"/>
      <c r="F100" s="186"/>
      <c r="G100" s="187"/>
      <c r="H100" s="68"/>
      <c r="I100" s="188">
        <f>SUM(B100:H100)</f>
        <v>2663.52</v>
      </c>
      <c r="J100" s="189">
        <v>222.94</v>
      </c>
      <c r="K100" s="189">
        <v>26.02</v>
      </c>
      <c r="L100" s="189">
        <f>166.92+26.64+29.57+62.15+2.6</f>
        <v>287.88</v>
      </c>
      <c r="M100" s="189">
        <f>J100+K100+L100</f>
        <v>536.84</v>
      </c>
      <c r="N100" s="189">
        <f>I100-M100</f>
        <v>2126.6799999999998</v>
      </c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thickTop="1" x14ac:dyDescent="0.25">
      <c r="A101" s="206" t="s">
        <v>168</v>
      </c>
      <c r="B101" s="217"/>
      <c r="C101" s="217"/>
      <c r="D101" s="217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5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x14ac:dyDescent="0.25">
      <c r="A102" s="174" t="s">
        <v>158</v>
      </c>
      <c r="B102" s="214"/>
      <c r="C102" s="214"/>
      <c r="D102" s="214"/>
      <c r="E102" s="214"/>
      <c r="F102" s="214"/>
      <c r="G102" s="214"/>
      <c r="H102" s="214"/>
      <c r="I102" s="215"/>
      <c r="J102" s="215"/>
      <c r="K102" s="215"/>
      <c r="L102" s="215"/>
      <c r="M102" s="215"/>
      <c r="N102" s="215"/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x14ac:dyDescent="0.25">
      <c r="A103" s="192" t="s">
        <v>131</v>
      </c>
      <c r="B103" s="190"/>
      <c r="C103" s="190"/>
      <c r="D103" s="190"/>
      <c r="E103" s="190"/>
      <c r="F103" s="190"/>
      <c r="G103" s="191"/>
      <c r="H103" s="191"/>
      <c r="I103" s="183"/>
      <c r="J103" s="182"/>
      <c r="K103" s="182"/>
      <c r="L103" s="182"/>
      <c r="M103" s="182"/>
      <c r="N103" s="182"/>
      <c r="O103" s="52"/>
      <c r="P103" s="1"/>
      <c r="Q103" s="1"/>
      <c r="R103" s="3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6.5" customHeight="1" thickBot="1" x14ac:dyDescent="0.3">
      <c r="A104" s="185">
        <v>44739</v>
      </c>
      <c r="B104" s="186">
        <v>2663.52</v>
      </c>
      <c r="C104" s="186"/>
      <c r="D104" s="186"/>
      <c r="E104" s="186"/>
      <c r="F104" s="186"/>
      <c r="G104" s="187"/>
      <c r="H104" s="68"/>
      <c r="I104" s="188">
        <f>SUM(B104:H104)</f>
        <v>2663.52</v>
      </c>
      <c r="J104" s="189">
        <v>222.94</v>
      </c>
      <c r="K104" s="189">
        <v>26.02</v>
      </c>
      <c r="L104" s="189">
        <f>105.34+26.63+62.15+2.6</f>
        <v>196.72</v>
      </c>
      <c r="M104" s="189">
        <f>SUM(J104:L104)</f>
        <v>445.68</v>
      </c>
      <c r="N104" s="189">
        <f>I104-M104</f>
        <v>2217.84</v>
      </c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thickTop="1" x14ac:dyDescent="0.25">
      <c r="A105" s="206" t="s">
        <v>169</v>
      </c>
      <c r="B105" s="217"/>
      <c r="C105" s="217"/>
      <c r="D105" s="217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5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 x14ac:dyDescent="0.25">
      <c r="A106" s="174" t="s">
        <v>170</v>
      </c>
      <c r="B106" s="214"/>
      <c r="C106" s="214"/>
      <c r="D106" s="214"/>
      <c r="E106" s="214"/>
      <c r="F106" s="214"/>
      <c r="G106" s="214"/>
      <c r="H106" s="214"/>
      <c r="I106" s="215"/>
      <c r="J106" s="215"/>
      <c r="K106" s="215"/>
      <c r="L106" s="215"/>
      <c r="M106" s="215"/>
      <c r="N106" s="215"/>
      <c r="O106" s="5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 x14ac:dyDescent="0.25">
      <c r="A107" s="192" t="s">
        <v>131</v>
      </c>
      <c r="B107" s="190"/>
      <c r="C107" s="190"/>
      <c r="D107" s="190"/>
      <c r="E107" s="190"/>
      <c r="F107" s="190"/>
      <c r="G107" s="191"/>
      <c r="H107" s="191"/>
      <c r="I107" s="183"/>
      <c r="J107" s="182"/>
      <c r="K107" s="182"/>
      <c r="L107" s="182"/>
      <c r="M107" s="182"/>
      <c r="N107" s="182"/>
      <c r="O107" s="52"/>
      <c r="P107" s="1"/>
      <c r="Q107" s="1"/>
      <c r="R107" s="3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6.5" customHeight="1" thickBot="1" x14ac:dyDescent="0.3">
      <c r="A108" s="185">
        <v>44935</v>
      </c>
      <c r="B108" s="186">
        <v>2663.52</v>
      </c>
      <c r="C108" s="186"/>
      <c r="D108" s="186"/>
      <c r="E108" s="186"/>
      <c r="F108" s="186"/>
      <c r="G108" s="187"/>
      <c r="H108" s="68"/>
      <c r="I108" s="188">
        <f>SUM(B108:H108)</f>
        <v>2663.52</v>
      </c>
      <c r="J108" s="189">
        <v>222.94</v>
      </c>
      <c r="K108" s="189">
        <v>26.02</v>
      </c>
      <c r="L108" s="189">
        <f>108.26+4.81</f>
        <v>113.07000000000001</v>
      </c>
      <c r="M108" s="189">
        <f>SUM(J108:L108)</f>
        <v>362.03000000000003</v>
      </c>
      <c r="N108" s="189">
        <f>I108-M108</f>
        <v>2301.4899999999998</v>
      </c>
      <c r="O108" s="5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" thickTop="1" x14ac:dyDescent="0.2">
      <c r="N109" s="100"/>
    </row>
    <row r="110" spans="1:34" x14ac:dyDescent="0.2">
      <c r="A110" s="226"/>
      <c r="E110" s="218"/>
      <c r="N110" s="218"/>
    </row>
    <row r="111" spans="1:34" x14ac:dyDescent="0.2">
      <c r="A111" s="174"/>
      <c r="N111" s="218"/>
    </row>
    <row r="112" spans="1:34" x14ac:dyDescent="0.2">
      <c r="A112" s="192"/>
      <c r="N112" s="220"/>
    </row>
    <row r="115" spans="13:14" x14ac:dyDescent="0.2">
      <c r="N115" s="218"/>
    </row>
    <row r="119" spans="13:14" x14ac:dyDescent="0.2">
      <c r="M119" s="100"/>
    </row>
    <row r="120" spans="13:14" x14ac:dyDescent="0.2">
      <c r="M120" s="100"/>
    </row>
    <row r="121" spans="13:14" x14ac:dyDescent="0.2">
      <c r="M121" s="100"/>
    </row>
    <row r="122" spans="13:14" x14ac:dyDescent="0.2">
      <c r="M122" s="100"/>
    </row>
  </sheetData>
  <mergeCells count="45">
    <mergeCell ref="M3:M5"/>
    <mergeCell ref="N3:N5"/>
    <mergeCell ref="A1:N1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D3:D5"/>
    <mergeCell ref="I94:I96"/>
    <mergeCell ref="J94:J96"/>
    <mergeCell ref="L52:L54"/>
    <mergeCell ref="B97:N97"/>
    <mergeCell ref="B55:N55"/>
    <mergeCell ref="N94:N96"/>
    <mergeCell ref="C94:C96"/>
    <mergeCell ref="K94:K96"/>
    <mergeCell ref="L94:L96"/>
    <mergeCell ref="M94:M96"/>
    <mergeCell ref="B94:B96"/>
    <mergeCell ref="E94:E96"/>
    <mergeCell ref="F94:F96"/>
    <mergeCell ref="G94:G96"/>
    <mergeCell ref="H94:H96"/>
    <mergeCell ref="D94:D96"/>
    <mergeCell ref="C52:C54"/>
    <mergeCell ref="D52:D54"/>
    <mergeCell ref="A92:N92"/>
    <mergeCell ref="B6:N6"/>
    <mergeCell ref="A50:N50"/>
    <mergeCell ref="B52:B54"/>
    <mergeCell ref="E52:E54"/>
    <mergeCell ref="F52:F54"/>
    <mergeCell ref="G52:G54"/>
    <mergeCell ref="H52:H54"/>
    <mergeCell ref="I52:I54"/>
    <mergeCell ref="J52:J54"/>
    <mergeCell ref="K52:K54"/>
    <mergeCell ref="M52:M54"/>
    <mergeCell ref="N52:N54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70" orientation="landscape" r:id="rId1"/>
  <rowBreaks count="2" manualBreakCount="2">
    <brk id="48" max="16383" man="1"/>
    <brk id="88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231" t="s">
        <v>3</v>
      </c>
      <c r="C5" s="231" t="s">
        <v>4</v>
      </c>
      <c r="D5" s="227" t="s">
        <v>5</v>
      </c>
      <c r="E5" s="227" t="s">
        <v>6</v>
      </c>
      <c r="F5" s="227" t="s">
        <v>7</v>
      </c>
      <c r="G5" s="231" t="s">
        <v>8</v>
      </c>
      <c r="H5" s="227" t="s">
        <v>9</v>
      </c>
      <c r="I5" s="231" t="s">
        <v>10</v>
      </c>
      <c r="J5" s="231" t="s">
        <v>11</v>
      </c>
      <c r="K5" s="227" t="s">
        <v>12</v>
      </c>
      <c r="L5" s="227" t="s">
        <v>13</v>
      </c>
      <c r="M5" s="227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7">
        <v>43507</v>
      </c>
      <c r="B35" s="98">
        <v>7000</v>
      </c>
      <c r="C35" s="98"/>
      <c r="D35" s="98"/>
      <c r="E35" s="98"/>
      <c r="F35" s="98"/>
      <c r="G35" s="98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231" t="s">
        <v>3</v>
      </c>
      <c r="C36" s="231" t="s">
        <v>4</v>
      </c>
      <c r="D36" s="227" t="s">
        <v>5</v>
      </c>
      <c r="E36" s="227" t="s">
        <v>6</v>
      </c>
      <c r="F36" s="227" t="s">
        <v>7</v>
      </c>
      <c r="G36" s="231" t="s">
        <v>8</v>
      </c>
      <c r="H36" s="227" t="s">
        <v>9</v>
      </c>
      <c r="I36" s="231" t="s">
        <v>10</v>
      </c>
      <c r="J36" s="231" t="s">
        <v>11</v>
      </c>
      <c r="K36" s="227" t="s">
        <v>12</v>
      </c>
      <c r="L36" s="227" t="s">
        <v>13</v>
      </c>
      <c r="M36" s="227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6" t="s">
        <v>16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235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</row>
    <row r="75" spans="1:33" ht="15.75" customHeight="1" x14ac:dyDescent="0.2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7" t="s">
        <v>5</v>
      </c>
      <c r="E4" s="227" t="s">
        <v>6</v>
      </c>
      <c r="F4" s="227" t="s">
        <v>7</v>
      </c>
      <c r="G4" s="231" t="s">
        <v>8</v>
      </c>
      <c r="H4" s="227" t="s">
        <v>9</v>
      </c>
      <c r="I4" s="231" t="s">
        <v>10</v>
      </c>
      <c r="J4" s="231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7">
        <v>43507</v>
      </c>
      <c r="B40" s="98">
        <v>7000</v>
      </c>
      <c r="C40" s="98"/>
      <c r="D40" s="98"/>
      <c r="E40" s="98"/>
      <c r="F40" s="98"/>
      <c r="G40" s="98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231" t="s">
        <v>3</v>
      </c>
      <c r="C41" s="231" t="s">
        <v>4</v>
      </c>
      <c r="D41" s="227" t="s">
        <v>5</v>
      </c>
      <c r="E41" s="227" t="s">
        <v>6</v>
      </c>
      <c r="F41" s="227" t="s">
        <v>7</v>
      </c>
      <c r="G41" s="231" t="s">
        <v>8</v>
      </c>
      <c r="H41" s="227" t="s">
        <v>9</v>
      </c>
      <c r="I41" s="231" t="s">
        <v>10</v>
      </c>
      <c r="J41" s="231" t="s">
        <v>11</v>
      </c>
      <c r="K41" s="227" t="s">
        <v>12</v>
      </c>
      <c r="L41" s="227" t="s">
        <v>13</v>
      </c>
      <c r="M41" s="227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 t="s">
        <v>16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7">
        <v>43556</v>
      </c>
      <c r="B81" s="99">
        <v>4000</v>
      </c>
      <c r="C81" s="98"/>
      <c r="D81" s="98"/>
      <c r="E81" s="98"/>
      <c r="F81" s="98"/>
      <c r="G81" s="98"/>
      <c r="H81" s="99">
        <f>B81+C81+D81+E81+F81+G81</f>
        <v>4000</v>
      </c>
      <c r="I81" s="99">
        <v>122.32</v>
      </c>
      <c r="J81" s="99">
        <v>440</v>
      </c>
      <c r="K81" s="99"/>
      <c r="L81" s="99">
        <f>I81+J81+K81</f>
        <v>562.31999999999994</v>
      </c>
      <c r="M81" s="99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241" t="s">
        <v>3</v>
      </c>
      <c r="C82" s="241" t="s">
        <v>4</v>
      </c>
      <c r="D82" s="240" t="s">
        <v>5</v>
      </c>
      <c r="E82" s="240" t="s">
        <v>6</v>
      </c>
      <c r="F82" s="240" t="s">
        <v>7</v>
      </c>
      <c r="G82" s="241" t="s">
        <v>8</v>
      </c>
      <c r="H82" s="240" t="s">
        <v>9</v>
      </c>
      <c r="I82" s="241" t="s">
        <v>10</v>
      </c>
      <c r="J82" s="241" t="s">
        <v>11</v>
      </c>
      <c r="K82" s="240" t="s">
        <v>12</v>
      </c>
      <c r="L82" s="240" t="s">
        <v>13</v>
      </c>
      <c r="M82" s="240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6" t="s">
        <v>16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7" t="s">
        <v>5</v>
      </c>
      <c r="E4" s="227" t="s">
        <v>6</v>
      </c>
      <c r="F4" s="227" t="s">
        <v>7</v>
      </c>
      <c r="G4" s="231" t="s">
        <v>8</v>
      </c>
      <c r="H4" s="227" t="s">
        <v>9</v>
      </c>
      <c r="I4" s="231" t="s">
        <v>10</v>
      </c>
      <c r="J4" s="231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231" t="s">
        <v>3</v>
      </c>
      <c r="C44" s="231" t="s">
        <v>4</v>
      </c>
      <c r="D44" s="227" t="s">
        <v>5</v>
      </c>
      <c r="E44" s="227" t="s">
        <v>6</v>
      </c>
      <c r="F44" s="227" t="s">
        <v>7</v>
      </c>
      <c r="G44" s="231" t="s">
        <v>8</v>
      </c>
      <c r="H44" s="227" t="s">
        <v>9</v>
      </c>
      <c r="I44" s="231" t="s">
        <v>10</v>
      </c>
      <c r="J44" s="231" t="s">
        <v>11</v>
      </c>
      <c r="K44" s="227" t="s">
        <v>12</v>
      </c>
      <c r="L44" s="227" t="s">
        <v>13</v>
      </c>
      <c r="M44" s="227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6" t="s">
        <v>16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7">
        <v>43556</v>
      </c>
      <c r="B90" s="99">
        <v>4000</v>
      </c>
      <c r="C90" s="98"/>
      <c r="D90" s="98"/>
      <c r="E90" s="98"/>
      <c r="F90" s="98"/>
      <c r="G90" s="98"/>
      <c r="H90" s="99">
        <f>B90+C90+D90+E90+F90+G90</f>
        <v>4000</v>
      </c>
      <c r="I90" s="99">
        <v>122.32</v>
      </c>
      <c r="J90" s="99">
        <v>440</v>
      </c>
      <c r="K90" s="99"/>
      <c r="L90" s="99">
        <f>I90+J90+K90</f>
        <v>562.31999999999994</v>
      </c>
      <c r="M90" s="99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241" t="s">
        <v>3</v>
      </c>
      <c r="C91" s="241" t="s">
        <v>4</v>
      </c>
      <c r="D91" s="240" t="s">
        <v>5</v>
      </c>
      <c r="E91" s="240" t="s">
        <v>6</v>
      </c>
      <c r="F91" s="240" t="s">
        <v>7</v>
      </c>
      <c r="G91" s="241" t="s">
        <v>8</v>
      </c>
      <c r="H91" s="240" t="s">
        <v>9</v>
      </c>
      <c r="I91" s="241" t="s">
        <v>10</v>
      </c>
      <c r="J91" s="241" t="s">
        <v>11</v>
      </c>
      <c r="K91" s="240" t="s">
        <v>12</v>
      </c>
      <c r="L91" s="240" t="s">
        <v>13</v>
      </c>
      <c r="M91" s="240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6" t="s">
        <v>16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7" t="s">
        <v>5</v>
      </c>
      <c r="E4" s="227" t="s">
        <v>6</v>
      </c>
      <c r="F4" s="227" t="s">
        <v>7</v>
      </c>
      <c r="G4" s="231" t="s">
        <v>8</v>
      </c>
      <c r="H4" s="227" t="s">
        <v>9</v>
      </c>
      <c r="I4" s="231" t="s">
        <v>10</v>
      </c>
      <c r="J4" s="231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7">
        <v>43745</v>
      </c>
      <c r="B46" s="98">
        <v>1666.67</v>
      </c>
      <c r="C46" s="98"/>
      <c r="D46" s="98"/>
      <c r="E46" s="98"/>
      <c r="F46" s="98"/>
      <c r="G46" s="98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231" t="s">
        <v>3</v>
      </c>
      <c r="C47" s="231" t="s">
        <v>4</v>
      </c>
      <c r="D47" s="227" t="s">
        <v>5</v>
      </c>
      <c r="E47" s="227" t="s">
        <v>6</v>
      </c>
      <c r="F47" s="227" t="s">
        <v>7</v>
      </c>
      <c r="G47" s="231" t="s">
        <v>8</v>
      </c>
      <c r="H47" s="227" t="s">
        <v>9</v>
      </c>
      <c r="I47" s="231" t="s">
        <v>10</v>
      </c>
      <c r="J47" s="231" t="s">
        <v>11</v>
      </c>
      <c r="K47" s="227" t="s">
        <v>12</v>
      </c>
      <c r="L47" s="227" t="s">
        <v>13</v>
      </c>
      <c r="M47" s="227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6" t="s">
        <v>16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7">
        <v>43556</v>
      </c>
      <c r="B93" s="99">
        <v>4000</v>
      </c>
      <c r="C93" s="98"/>
      <c r="D93" s="98"/>
      <c r="E93" s="98"/>
      <c r="F93" s="98"/>
      <c r="G93" s="98"/>
      <c r="H93" s="99">
        <f>B93+C93+D93+E93+F93+G93</f>
        <v>4000</v>
      </c>
      <c r="I93" s="99">
        <v>122.32</v>
      </c>
      <c r="J93" s="99">
        <v>440</v>
      </c>
      <c r="K93" s="99"/>
      <c r="L93" s="99">
        <f>I93+J93+K93</f>
        <v>562.31999999999994</v>
      </c>
      <c r="M93" s="99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7">
        <v>43753</v>
      </c>
      <c r="B96" s="99">
        <v>1133.33</v>
      </c>
      <c r="C96" s="98"/>
      <c r="D96" s="98"/>
      <c r="E96" s="98"/>
      <c r="F96" s="98"/>
      <c r="G96" s="98"/>
      <c r="H96" s="99">
        <f>B96+C96+D96+E96+F96+G96</f>
        <v>1133.33</v>
      </c>
      <c r="I96" s="99"/>
      <c r="J96" s="99">
        <v>90.66</v>
      </c>
      <c r="K96" s="99">
        <f>120+68</f>
        <v>188</v>
      </c>
      <c r="L96" s="99">
        <f>I96+J96+K96</f>
        <v>278.65999999999997</v>
      </c>
      <c r="M96" s="99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241" t="s">
        <v>3</v>
      </c>
      <c r="C97" s="241" t="s">
        <v>4</v>
      </c>
      <c r="D97" s="240" t="s">
        <v>5</v>
      </c>
      <c r="E97" s="240" t="s">
        <v>6</v>
      </c>
      <c r="F97" s="240" t="s">
        <v>7</v>
      </c>
      <c r="G97" s="241" t="s">
        <v>8</v>
      </c>
      <c r="H97" s="240" t="s">
        <v>9</v>
      </c>
      <c r="I97" s="241" t="s">
        <v>10</v>
      </c>
      <c r="J97" s="241" t="s">
        <v>11</v>
      </c>
      <c r="K97" s="240" t="s">
        <v>12</v>
      </c>
      <c r="L97" s="240" t="s">
        <v>13</v>
      </c>
      <c r="M97" s="240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6" t="s">
        <v>16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0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231" t="s">
        <v>3</v>
      </c>
      <c r="C4" s="231" t="s">
        <v>4</v>
      </c>
      <c r="D4" s="227" t="s">
        <v>5</v>
      </c>
      <c r="E4" s="227" t="s">
        <v>6</v>
      </c>
      <c r="F4" s="227" t="s">
        <v>7</v>
      </c>
      <c r="G4" s="231" t="s">
        <v>8</v>
      </c>
      <c r="H4" s="227" t="s">
        <v>9</v>
      </c>
      <c r="I4" s="231" t="s">
        <v>10</v>
      </c>
      <c r="J4" s="231" t="s">
        <v>11</v>
      </c>
      <c r="K4" s="227" t="s">
        <v>12</v>
      </c>
      <c r="L4" s="227" t="s">
        <v>13</v>
      </c>
      <c r="M4" s="227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230" t="s">
        <v>0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231" t="s">
        <v>3</v>
      </c>
      <c r="C44" s="231" t="s">
        <v>4</v>
      </c>
      <c r="D44" s="227" t="s">
        <v>5</v>
      </c>
      <c r="E44" s="227" t="s">
        <v>6</v>
      </c>
      <c r="F44" s="227" t="s">
        <v>7</v>
      </c>
      <c r="G44" s="231" t="s">
        <v>8</v>
      </c>
      <c r="H44" s="227" t="s">
        <v>9</v>
      </c>
      <c r="I44" s="231" t="s">
        <v>10</v>
      </c>
      <c r="J44" s="231" t="s">
        <v>11</v>
      </c>
      <c r="K44" s="227" t="s">
        <v>12</v>
      </c>
      <c r="L44" s="227" t="s">
        <v>13</v>
      </c>
      <c r="M44" s="227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7">
        <v>43507</v>
      </c>
      <c r="B53" s="98">
        <v>7000</v>
      </c>
      <c r="C53" s="98"/>
      <c r="D53" s="98"/>
      <c r="E53" s="98"/>
      <c r="F53" s="98"/>
      <c r="G53" s="98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7">
        <v>43745</v>
      </c>
      <c r="B56" s="98">
        <v>2000</v>
      </c>
      <c r="C56" s="98"/>
      <c r="D56" s="98"/>
      <c r="E56" s="98"/>
      <c r="F56" s="98"/>
      <c r="G56" s="98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30" t="s">
        <v>0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231" t="s">
        <v>3</v>
      </c>
      <c r="C83" s="231" t="s">
        <v>4</v>
      </c>
      <c r="D83" s="227" t="s">
        <v>5</v>
      </c>
      <c r="E83" s="227" t="s">
        <v>6</v>
      </c>
      <c r="F83" s="227" t="s">
        <v>7</v>
      </c>
      <c r="G83" s="231" t="s">
        <v>8</v>
      </c>
      <c r="H83" s="227" t="s">
        <v>9</v>
      </c>
      <c r="I83" s="231" t="s">
        <v>10</v>
      </c>
      <c r="J83" s="231" t="s">
        <v>11</v>
      </c>
      <c r="K83" s="227" t="s">
        <v>12</v>
      </c>
      <c r="L83" s="227" t="s">
        <v>13</v>
      </c>
      <c r="M83" s="227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7">
        <v>43556</v>
      </c>
      <c r="B106" s="99">
        <v>4000</v>
      </c>
      <c r="C106" s="98"/>
      <c r="D106" s="98"/>
      <c r="E106" s="98"/>
      <c r="F106" s="98"/>
      <c r="G106" s="98"/>
      <c r="H106" s="99">
        <f>B106+C106+D106+E106+F106+G106</f>
        <v>4000</v>
      </c>
      <c r="I106" s="99">
        <v>122.32</v>
      </c>
      <c r="J106" s="99">
        <v>440</v>
      </c>
      <c r="K106" s="99"/>
      <c r="L106" s="99">
        <f>I106+J106+K106</f>
        <v>562.31999999999994</v>
      </c>
      <c r="M106" s="99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7">
        <v>43753</v>
      </c>
      <c r="B109" s="99">
        <v>2000</v>
      </c>
      <c r="C109" s="98"/>
      <c r="D109" s="98"/>
      <c r="E109" s="98"/>
      <c r="F109" s="98"/>
      <c r="G109" s="98"/>
      <c r="H109" s="99">
        <f>B109+C109+D109+E109+F109+G109</f>
        <v>2000</v>
      </c>
      <c r="I109" s="99"/>
      <c r="J109" s="99">
        <v>180</v>
      </c>
      <c r="K109" s="99">
        <v>120</v>
      </c>
      <c r="L109" s="99">
        <f>I109+J109+K109</f>
        <v>300</v>
      </c>
      <c r="M109" s="99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241" t="s">
        <v>3</v>
      </c>
      <c r="C110" s="241" t="s">
        <v>4</v>
      </c>
      <c r="D110" s="240" t="s">
        <v>5</v>
      </c>
      <c r="E110" s="240" t="s">
        <v>6</v>
      </c>
      <c r="F110" s="240" t="s">
        <v>7</v>
      </c>
      <c r="G110" s="241" t="s">
        <v>8</v>
      </c>
      <c r="H110" s="240" t="s">
        <v>9</v>
      </c>
      <c r="I110" s="241" t="s">
        <v>10</v>
      </c>
      <c r="J110" s="241" t="s">
        <v>11</v>
      </c>
      <c r="K110" s="240" t="s">
        <v>12</v>
      </c>
      <c r="L110" s="240" t="s">
        <v>13</v>
      </c>
      <c r="M110" s="240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6" t="s">
        <v>16</v>
      </c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0" t="s">
        <v>90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7" t="s">
        <v>93</v>
      </c>
      <c r="E66" s="242" t="s">
        <v>8</v>
      </c>
      <c r="F66" s="245" t="s">
        <v>94</v>
      </c>
      <c r="G66" s="245" t="s">
        <v>9</v>
      </c>
      <c r="H66" s="231" t="s">
        <v>11</v>
      </c>
      <c r="I66" s="231" t="s">
        <v>95</v>
      </c>
      <c r="J66" s="227" t="s">
        <v>12</v>
      </c>
      <c r="K66" s="227" t="s">
        <v>13</v>
      </c>
      <c r="L66" s="227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8"/>
      <c r="C67" s="228"/>
      <c r="D67" s="228"/>
      <c r="E67" s="243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29"/>
      <c r="C68" s="229"/>
      <c r="D68" s="229"/>
      <c r="E68" s="244"/>
      <c r="F68" s="229"/>
      <c r="G68" s="229"/>
      <c r="H68" s="229"/>
      <c r="I68" s="229"/>
      <c r="J68" s="229"/>
      <c r="K68" s="229"/>
      <c r="L68" s="229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2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232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232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232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232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232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0" t="s">
        <v>90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7" t="s">
        <v>93</v>
      </c>
      <c r="E69" s="242" t="s">
        <v>8</v>
      </c>
      <c r="F69" s="245" t="s">
        <v>94</v>
      </c>
      <c r="G69" s="245" t="s">
        <v>9</v>
      </c>
      <c r="H69" s="231" t="s">
        <v>11</v>
      </c>
      <c r="I69" s="231" t="s">
        <v>95</v>
      </c>
      <c r="J69" s="227" t="s">
        <v>12</v>
      </c>
      <c r="K69" s="227" t="s">
        <v>13</v>
      </c>
      <c r="L69" s="227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8"/>
      <c r="C70" s="228"/>
      <c r="D70" s="228"/>
      <c r="E70" s="243"/>
      <c r="F70" s="228"/>
      <c r="G70" s="228"/>
      <c r="H70" s="228"/>
      <c r="I70" s="228"/>
      <c r="J70" s="228"/>
      <c r="K70" s="228"/>
      <c r="L70" s="228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29"/>
      <c r="C71" s="229"/>
      <c r="D71" s="229"/>
      <c r="E71" s="244"/>
      <c r="F71" s="229"/>
      <c r="G71" s="229"/>
      <c r="H71" s="229"/>
      <c r="I71" s="229"/>
      <c r="J71" s="229"/>
      <c r="K71" s="229"/>
      <c r="L71" s="2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2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2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2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2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C69:C71"/>
    <mergeCell ref="D69:D71"/>
    <mergeCell ref="E69:E71"/>
    <mergeCell ref="F69:F71"/>
    <mergeCell ref="B72:L72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0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7" t="s">
        <v>93</v>
      </c>
      <c r="E3" s="242" t="s">
        <v>8</v>
      </c>
      <c r="F3" s="245" t="s">
        <v>94</v>
      </c>
      <c r="G3" s="245" t="s">
        <v>9</v>
      </c>
      <c r="H3" s="231" t="s">
        <v>11</v>
      </c>
      <c r="I3" s="231" t="s">
        <v>95</v>
      </c>
      <c r="J3" s="227" t="s">
        <v>12</v>
      </c>
      <c r="K3" s="227" t="s">
        <v>13</v>
      </c>
      <c r="L3" s="227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8"/>
      <c r="C4" s="228"/>
      <c r="D4" s="228"/>
      <c r="E4" s="243"/>
      <c r="F4" s="228"/>
      <c r="G4" s="228"/>
      <c r="H4" s="228"/>
      <c r="I4" s="228"/>
      <c r="J4" s="228"/>
      <c r="K4" s="228"/>
      <c r="L4" s="228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29"/>
      <c r="C5" s="229"/>
      <c r="D5" s="229"/>
      <c r="E5" s="244"/>
      <c r="F5" s="229"/>
      <c r="G5" s="229"/>
      <c r="H5" s="229"/>
      <c r="I5" s="229"/>
      <c r="J5" s="229"/>
      <c r="K5" s="229"/>
      <c r="L5" s="229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246" t="s">
        <v>53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0" t="s">
        <v>90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7" t="s">
        <v>93</v>
      </c>
      <c r="E69" s="242" t="s">
        <v>8</v>
      </c>
      <c r="F69" s="245" t="s">
        <v>94</v>
      </c>
      <c r="G69" s="245" t="s">
        <v>9</v>
      </c>
      <c r="H69" s="231" t="s">
        <v>11</v>
      </c>
      <c r="I69" s="231" t="s">
        <v>95</v>
      </c>
      <c r="J69" s="227" t="s">
        <v>12</v>
      </c>
      <c r="K69" s="227" t="s">
        <v>13</v>
      </c>
      <c r="L69" s="227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8"/>
      <c r="C70" s="228"/>
      <c r="D70" s="228"/>
      <c r="E70" s="243"/>
      <c r="F70" s="228"/>
      <c r="G70" s="228"/>
      <c r="H70" s="228"/>
      <c r="I70" s="228"/>
      <c r="J70" s="228"/>
      <c r="K70" s="228"/>
      <c r="L70" s="228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29"/>
      <c r="C71" s="229"/>
      <c r="D71" s="229"/>
      <c r="E71" s="244"/>
      <c r="F71" s="229"/>
      <c r="G71" s="229"/>
      <c r="H71" s="229"/>
      <c r="I71" s="229"/>
      <c r="J71" s="229"/>
      <c r="K71" s="229"/>
      <c r="L71" s="2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2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2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2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2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2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2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247" t="s">
        <v>152</v>
      </c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101:L101"/>
    <mergeCell ref="B105:L105"/>
    <mergeCell ref="B106:L106"/>
    <mergeCell ref="B72:L72"/>
    <mergeCell ref="B82:L82"/>
    <mergeCell ref="B89:L89"/>
    <mergeCell ref="B93:L93"/>
    <mergeCell ref="B97:L97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B7:L7"/>
    <mergeCell ref="B49:L49"/>
    <mergeCell ref="K3:K5"/>
    <mergeCell ref="L3:L5"/>
    <mergeCell ref="B6:L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 </vt:lpstr>
      <vt:lpstr>02.2023</vt:lpstr>
      <vt:lpstr>'02.2023'!Area_de_impressao</vt:lpstr>
      <vt:lpstr>'AGOSTO 2022'!Area_de_impressao</vt:lpstr>
      <vt:lpstr>'JULHO 2022'!Area_de_impressao</vt:lpstr>
      <vt:lpstr>'SETEMBRO 2022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dcterms:created xsi:type="dcterms:W3CDTF">2015-04-14T13:15:31Z</dcterms:created>
  <dcterms:modified xsi:type="dcterms:W3CDTF">2023-04-12T13:58:18Z</dcterms:modified>
  <cp:category/>
  <cp:contentStatus/>
</cp:coreProperties>
</file>