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2\05-2022\"/>
    </mc:Choice>
  </mc:AlternateContent>
  <xr:revisionPtr revIDLastSave="0" documentId="8_{1BA4EBC5-057D-4ADC-A162-7CFF795DEE4C}" xr6:coauthVersionLast="47" xr6:coauthVersionMax="47" xr10:uidLastSave="{00000000-0000-0000-0000-000000000000}"/>
  <bookViews>
    <workbookView xWindow="-120" yWindow="-120" windowWidth="29040" windowHeight="15840" tabRatio="837" firstSheet="10" activeTab="10" xr2:uid="{00000000-000D-0000-FFFF-FFFF00000000}"/>
  </bookViews>
  <sheets>
    <sheet name="MAIO 2019" sheetId="2" state="hidden" r:id="rId1"/>
    <sheet name="JUNHO 2019" sheetId="3" state="hidden" r:id="rId2"/>
    <sheet name="AGOSTO 2019" sheetId="4" state="hidden" r:id="rId3"/>
    <sheet name="SETEMBRO 2019" sheetId="5" state="hidden" r:id="rId4"/>
    <sheet name="OUTUBRO 2019" sheetId="6" state="hidden" r:id="rId5"/>
    <sheet name="NOVEMBRO 2019" sheetId="7" state="hidden" r:id="rId6"/>
    <sheet name="JANEIRO 2022" sheetId="19" r:id="rId7"/>
    <sheet name="FEVEREIRO 2022" sheetId="20" r:id="rId8"/>
    <sheet name="MARÇO 2022" sheetId="21" r:id="rId9"/>
    <sheet name="ABRIL 2022" sheetId="22" r:id="rId10"/>
    <sheet name="MAIO 2022" sheetId="2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1" i="23" l="1"/>
  <c r="H81" i="23"/>
  <c r="C81" i="23"/>
  <c r="H75" i="23"/>
  <c r="K75" i="23" s="1"/>
  <c r="C75" i="23"/>
  <c r="H36" i="23"/>
  <c r="C36" i="23"/>
  <c r="J104" i="23"/>
  <c r="K104" i="23" s="1"/>
  <c r="J100" i="23"/>
  <c r="K100" i="23" s="1"/>
  <c r="J96" i="23"/>
  <c r="J92" i="23"/>
  <c r="K92" i="23" s="1"/>
  <c r="J88" i="23"/>
  <c r="K88" i="23" s="1"/>
  <c r="J85" i="23"/>
  <c r="K85" i="23" s="1"/>
  <c r="K78" i="23"/>
  <c r="G78" i="23"/>
  <c r="J75" i="23"/>
  <c r="J72" i="23"/>
  <c r="K72" i="23" s="1"/>
  <c r="J55" i="23"/>
  <c r="J52" i="23"/>
  <c r="K52" i="23" s="1"/>
  <c r="J49" i="23"/>
  <c r="K49" i="23" s="1"/>
  <c r="J45" i="23"/>
  <c r="K45" i="23" s="1"/>
  <c r="L45" i="23" s="1"/>
  <c r="J42" i="23"/>
  <c r="K42" i="23" s="1"/>
  <c r="J39" i="23"/>
  <c r="K39" i="23" s="1"/>
  <c r="L39" i="23" s="1"/>
  <c r="J36" i="23"/>
  <c r="J33" i="23"/>
  <c r="J30" i="23"/>
  <c r="K30" i="23" s="1"/>
  <c r="J27" i="23"/>
  <c r="K27" i="23" s="1"/>
  <c r="J24" i="23"/>
  <c r="K24" i="23" s="1"/>
  <c r="L24" i="23" s="1"/>
  <c r="J21" i="23"/>
  <c r="K21" i="23" s="1"/>
  <c r="J18" i="23"/>
  <c r="K18" i="23" s="1"/>
  <c r="J15" i="23"/>
  <c r="J12" i="23"/>
  <c r="K12" i="23" s="1"/>
  <c r="J9" i="23"/>
  <c r="K9" i="23" s="1"/>
  <c r="G104" i="23"/>
  <c r="G100" i="23"/>
  <c r="K96" i="23"/>
  <c r="G96" i="23"/>
  <c r="G92" i="23"/>
  <c r="E88" i="23"/>
  <c r="G88" i="23" s="1"/>
  <c r="G85" i="23"/>
  <c r="G81" i="23"/>
  <c r="G75" i="23"/>
  <c r="G72" i="23"/>
  <c r="K55" i="23"/>
  <c r="G55" i="23"/>
  <c r="G52" i="23"/>
  <c r="G49" i="23"/>
  <c r="G45" i="23"/>
  <c r="G42" i="23"/>
  <c r="G39" i="23"/>
  <c r="G36" i="23"/>
  <c r="K33" i="23"/>
  <c r="G33" i="23"/>
  <c r="G30" i="23"/>
  <c r="G27" i="23"/>
  <c r="G24" i="23"/>
  <c r="G21" i="23"/>
  <c r="G18" i="23"/>
  <c r="K15" i="23"/>
  <c r="G15" i="23"/>
  <c r="G12" i="23"/>
  <c r="G9" i="23"/>
  <c r="K81" i="23" l="1"/>
  <c r="L81" i="23" s="1"/>
  <c r="K36" i="23"/>
  <c r="L36" i="23" s="1"/>
  <c r="L92" i="23"/>
  <c r="L85" i="23"/>
  <c r="L33" i="23"/>
  <c r="L88" i="23"/>
  <c r="L104" i="23"/>
  <c r="L52" i="23"/>
  <c r="L96" i="23"/>
  <c r="L12" i="23"/>
  <c r="L100" i="23"/>
  <c r="L18" i="23"/>
  <c r="L78" i="23"/>
  <c r="L75" i="23"/>
  <c r="L72" i="23"/>
  <c r="L55" i="23"/>
  <c r="L49" i="23"/>
  <c r="L42" i="23"/>
  <c r="L30" i="23"/>
  <c r="L15" i="23"/>
  <c r="L27" i="23"/>
  <c r="L9" i="23"/>
  <c r="L21" i="23"/>
  <c r="K108" i="21"/>
  <c r="G108" i="21"/>
  <c r="L108" i="21" s="1"/>
  <c r="J104" i="21"/>
  <c r="K104" i="21" s="1"/>
  <c r="G104" i="21"/>
  <c r="J100" i="21"/>
  <c r="K100" i="21" s="1"/>
  <c r="G100" i="21"/>
  <c r="J96" i="21"/>
  <c r="K96" i="21" s="1"/>
  <c r="G96" i="21"/>
  <c r="J92" i="21"/>
  <c r="K92" i="21" s="1"/>
  <c r="G92" i="21"/>
  <c r="J88" i="21"/>
  <c r="K88" i="21" s="1"/>
  <c r="E88" i="21"/>
  <c r="G88" i="21" s="1"/>
  <c r="L88" i="21" s="1"/>
  <c r="J85" i="21"/>
  <c r="K85" i="21" s="1"/>
  <c r="G85" i="21"/>
  <c r="L85" i="21" s="1"/>
  <c r="J81" i="21"/>
  <c r="K81" i="21" s="1"/>
  <c r="G81" i="21"/>
  <c r="J78" i="21"/>
  <c r="K78" i="21" s="1"/>
  <c r="G78" i="21"/>
  <c r="L78" i="21" s="1"/>
  <c r="J75" i="21"/>
  <c r="K75" i="21" s="1"/>
  <c r="G75" i="21"/>
  <c r="L75" i="21" s="1"/>
  <c r="J58" i="21"/>
  <c r="K58" i="21" s="1"/>
  <c r="G58" i="21"/>
  <c r="J55" i="21"/>
  <c r="K55" i="21" s="1"/>
  <c r="G55" i="21"/>
  <c r="L55" i="21" s="1"/>
  <c r="K52" i="21"/>
  <c r="G52" i="21"/>
  <c r="L52" i="21" s="1"/>
  <c r="J48" i="21"/>
  <c r="K48" i="21" s="1"/>
  <c r="L48" i="21" s="1"/>
  <c r="G48" i="21"/>
  <c r="J45" i="21"/>
  <c r="H45" i="21"/>
  <c r="K45" i="21" s="1"/>
  <c r="C45" i="21"/>
  <c r="G45" i="21" s="1"/>
  <c r="L45" i="21" s="1"/>
  <c r="J42" i="21"/>
  <c r="K42" i="21" s="1"/>
  <c r="G42" i="21"/>
  <c r="J39" i="21"/>
  <c r="K39" i="21" s="1"/>
  <c r="G39" i="21"/>
  <c r="L39" i="21" s="1"/>
  <c r="J36" i="21"/>
  <c r="K36" i="21" s="1"/>
  <c r="G36" i="21"/>
  <c r="L36" i="21" s="1"/>
  <c r="J33" i="21"/>
  <c r="K33" i="21" s="1"/>
  <c r="G33" i="21"/>
  <c r="J30" i="21"/>
  <c r="K30" i="21" s="1"/>
  <c r="G30" i="21"/>
  <c r="L30" i="21" s="1"/>
  <c r="J27" i="21"/>
  <c r="K27" i="21" s="1"/>
  <c r="G27" i="21"/>
  <c r="L27" i="21" s="1"/>
  <c r="J24" i="21"/>
  <c r="K24" i="21" s="1"/>
  <c r="G24" i="21"/>
  <c r="J21" i="21"/>
  <c r="K21" i="21" s="1"/>
  <c r="G21" i="21"/>
  <c r="J18" i="21"/>
  <c r="K18" i="21" s="1"/>
  <c r="G18" i="21"/>
  <c r="L18" i="21" s="1"/>
  <c r="J15" i="21"/>
  <c r="K15" i="21" s="1"/>
  <c r="G15" i="21"/>
  <c r="J12" i="21"/>
  <c r="K12" i="21" s="1"/>
  <c r="G12" i="21"/>
  <c r="L12" i="21" s="1"/>
  <c r="H9" i="21"/>
  <c r="K9" i="21" s="1"/>
  <c r="C9" i="21"/>
  <c r="B9" i="21"/>
  <c r="L21" i="21" l="1"/>
  <c r="L100" i="21"/>
  <c r="L96" i="21"/>
  <c r="L15" i="21"/>
  <c r="L24" i="21"/>
  <c r="L33" i="21"/>
  <c r="L42" i="21"/>
  <c r="L58" i="21"/>
  <c r="L81" i="21"/>
  <c r="G9" i="21"/>
  <c r="L92" i="21"/>
  <c r="L104" i="21"/>
  <c r="L9" i="21"/>
  <c r="J101" i="22" l="1"/>
  <c r="K101" i="22" s="1"/>
  <c r="J97" i="22"/>
  <c r="K97" i="22" s="1"/>
  <c r="J93" i="22"/>
  <c r="K93" i="22" s="1"/>
  <c r="J89" i="22"/>
  <c r="K89" i="22" s="1"/>
  <c r="J85" i="22"/>
  <c r="J82" i="22"/>
  <c r="K82" i="22" s="1"/>
  <c r="G101" i="22"/>
  <c r="G97" i="22"/>
  <c r="G93" i="22"/>
  <c r="G89" i="22"/>
  <c r="K85" i="22"/>
  <c r="E85" i="22"/>
  <c r="G85" i="22" s="1"/>
  <c r="G82" i="22"/>
  <c r="J78" i="22"/>
  <c r="K78" i="22" s="1"/>
  <c r="G78" i="22"/>
  <c r="J75" i="22"/>
  <c r="H75" i="22"/>
  <c r="C75" i="22"/>
  <c r="G75" i="22" s="1"/>
  <c r="K72" i="22"/>
  <c r="J72" i="22"/>
  <c r="H72" i="22"/>
  <c r="C72" i="22"/>
  <c r="G72" i="22" s="1"/>
  <c r="J55" i="22"/>
  <c r="H55" i="22"/>
  <c r="C55" i="22"/>
  <c r="G55" i="22" s="1"/>
  <c r="K52" i="22"/>
  <c r="J52" i="22"/>
  <c r="G52" i="22"/>
  <c r="J49" i="22"/>
  <c r="K49" i="22" s="1"/>
  <c r="G49" i="22"/>
  <c r="J45" i="22"/>
  <c r="K45" i="22" s="1"/>
  <c r="G45" i="22"/>
  <c r="J42" i="22"/>
  <c r="K42" i="22" s="1"/>
  <c r="G42" i="22"/>
  <c r="J39" i="22"/>
  <c r="K39" i="22" s="1"/>
  <c r="G39" i="22"/>
  <c r="J36" i="22"/>
  <c r="K36" i="22" s="1"/>
  <c r="G36" i="22"/>
  <c r="J33" i="22"/>
  <c r="K33" i="22" s="1"/>
  <c r="G33" i="22"/>
  <c r="J30" i="22"/>
  <c r="K30" i="22" s="1"/>
  <c r="G30" i="22"/>
  <c r="K27" i="22"/>
  <c r="J27" i="22"/>
  <c r="H27" i="22"/>
  <c r="C27" i="22"/>
  <c r="G27" i="22" s="1"/>
  <c r="J24" i="22"/>
  <c r="K24" i="22" s="1"/>
  <c r="G24" i="22"/>
  <c r="J21" i="22"/>
  <c r="K21" i="22" s="1"/>
  <c r="G21" i="22"/>
  <c r="J18" i="22"/>
  <c r="K18" i="22" s="1"/>
  <c r="G18" i="22"/>
  <c r="J15" i="22"/>
  <c r="K15" i="22" s="1"/>
  <c r="G15" i="22"/>
  <c r="J12" i="22"/>
  <c r="K12" i="22" s="1"/>
  <c r="G12" i="22"/>
  <c r="J9" i="22"/>
  <c r="K9" i="22" s="1"/>
  <c r="G9" i="22"/>
  <c r="K108" i="20"/>
  <c r="G108" i="20"/>
  <c r="E88" i="20"/>
  <c r="G88" i="20" s="1"/>
  <c r="J9" i="20"/>
  <c r="K9" i="20" s="1"/>
  <c r="J104" i="20"/>
  <c r="K104" i="20" s="1"/>
  <c r="J100" i="20"/>
  <c r="K100" i="20" s="1"/>
  <c r="J96" i="20"/>
  <c r="K96" i="20" s="1"/>
  <c r="J92" i="20"/>
  <c r="K92" i="20" s="1"/>
  <c r="J88" i="20"/>
  <c r="J85" i="20"/>
  <c r="K85" i="20" s="1"/>
  <c r="J81" i="20"/>
  <c r="K81" i="20" s="1"/>
  <c r="J78" i="20"/>
  <c r="K78" i="20" s="1"/>
  <c r="J75" i="20"/>
  <c r="J58" i="20"/>
  <c r="K58" i="20" s="1"/>
  <c r="J55" i="20"/>
  <c r="K55" i="20" s="1"/>
  <c r="J52" i="20"/>
  <c r="K52" i="20" s="1"/>
  <c r="J48" i="20"/>
  <c r="J45" i="20"/>
  <c r="K45" i="20" s="1"/>
  <c r="J42" i="20"/>
  <c r="K42" i="20" s="1"/>
  <c r="J39" i="20"/>
  <c r="K39" i="20" s="1"/>
  <c r="J36" i="20"/>
  <c r="J33" i="20"/>
  <c r="J30" i="20"/>
  <c r="K30" i="20" s="1"/>
  <c r="K27" i="20"/>
  <c r="G27" i="20"/>
  <c r="G24" i="20"/>
  <c r="J24" i="20"/>
  <c r="K24" i="20" s="1"/>
  <c r="L24" i="20" s="1"/>
  <c r="J21" i="20"/>
  <c r="K21" i="20" s="1"/>
  <c r="J18" i="20"/>
  <c r="K18" i="20" s="1"/>
  <c r="J15" i="20"/>
  <c r="K15" i="20" s="1"/>
  <c r="J12" i="20"/>
  <c r="K12" i="20" s="1"/>
  <c r="G104" i="20"/>
  <c r="G100" i="20"/>
  <c r="G96" i="20"/>
  <c r="L96" i="20" s="1"/>
  <c r="G92" i="20"/>
  <c r="K88" i="20"/>
  <c r="G85" i="20"/>
  <c r="G81" i="20"/>
  <c r="G78" i="20"/>
  <c r="K75" i="20"/>
  <c r="G75" i="20"/>
  <c r="G58" i="20"/>
  <c r="G55" i="20"/>
  <c r="G52" i="20"/>
  <c r="K48" i="20"/>
  <c r="G48" i="20"/>
  <c r="G45" i="20"/>
  <c r="G42" i="20"/>
  <c r="G39" i="20"/>
  <c r="K36" i="20"/>
  <c r="G36" i="20"/>
  <c r="K33" i="20"/>
  <c r="G33" i="20"/>
  <c r="G30" i="20"/>
  <c r="G21" i="20"/>
  <c r="G18" i="20"/>
  <c r="G15" i="20"/>
  <c r="G12" i="20"/>
  <c r="G9" i="20"/>
  <c r="J98" i="19"/>
  <c r="J94" i="19"/>
  <c r="K94" i="19" s="1"/>
  <c r="J90" i="19"/>
  <c r="K90" i="19" s="1"/>
  <c r="J86" i="19"/>
  <c r="K86" i="19" s="1"/>
  <c r="J82" i="19"/>
  <c r="K82" i="19" s="1"/>
  <c r="J79" i="19"/>
  <c r="K79" i="19" s="1"/>
  <c r="J75" i="19"/>
  <c r="K75" i="19" s="1"/>
  <c r="J72" i="19"/>
  <c r="J58" i="19"/>
  <c r="K58" i="19" s="1"/>
  <c r="J55" i="19"/>
  <c r="K55" i="19" s="1"/>
  <c r="J52" i="19"/>
  <c r="K52" i="19" s="1"/>
  <c r="J49" i="19"/>
  <c r="J45" i="19"/>
  <c r="K45" i="19" s="1"/>
  <c r="J42" i="19"/>
  <c r="C39" i="19"/>
  <c r="G39" i="19" s="1"/>
  <c r="H39" i="19"/>
  <c r="J39" i="19"/>
  <c r="J36" i="19"/>
  <c r="J30" i="19"/>
  <c r="K30" i="19" s="1"/>
  <c r="J27" i="19"/>
  <c r="K27" i="19" s="1"/>
  <c r="J24" i="19"/>
  <c r="J21" i="19"/>
  <c r="K21" i="19" s="1"/>
  <c r="I18" i="19"/>
  <c r="C18" i="19"/>
  <c r="G18" i="19" s="1"/>
  <c r="J18" i="19"/>
  <c r="H18" i="19"/>
  <c r="J15" i="19"/>
  <c r="K15" i="19" s="1"/>
  <c r="J12" i="19"/>
  <c r="K12" i="19" s="1"/>
  <c r="J9" i="19"/>
  <c r="K9" i="19" s="1"/>
  <c r="G42" i="19"/>
  <c r="G24" i="19"/>
  <c r="G21" i="19"/>
  <c r="G98" i="19"/>
  <c r="G82" i="19"/>
  <c r="G79" i="19"/>
  <c r="G52" i="19"/>
  <c r="G45" i="19"/>
  <c r="G12" i="19"/>
  <c r="G9" i="19"/>
  <c r="G94" i="19"/>
  <c r="G90" i="19"/>
  <c r="G86" i="19"/>
  <c r="G75" i="19"/>
  <c r="G72" i="19"/>
  <c r="G58" i="19"/>
  <c r="G55" i="19"/>
  <c r="K49" i="19"/>
  <c r="G49" i="19"/>
  <c r="G36" i="19"/>
  <c r="K33" i="19"/>
  <c r="G33" i="19"/>
  <c r="G30" i="19"/>
  <c r="G27" i="19"/>
  <c r="G15" i="19"/>
  <c r="L89" i="22" l="1"/>
  <c r="L93" i="22"/>
  <c r="L52" i="22"/>
  <c r="L97" i="22"/>
  <c r="L18" i="22"/>
  <c r="L33" i="22"/>
  <c r="L45" i="22"/>
  <c r="L15" i="22"/>
  <c r="L27" i="22"/>
  <c r="L30" i="22"/>
  <c r="L42" i="22"/>
  <c r="L72" i="22"/>
  <c r="L12" i="22"/>
  <c r="L24" i="22"/>
  <c r="L39" i="22"/>
  <c r="L9" i="22"/>
  <c r="L21" i="22"/>
  <c r="L36" i="22"/>
  <c r="L49" i="22"/>
  <c r="K55" i="22"/>
  <c r="L55" i="22" s="1"/>
  <c r="K75" i="22"/>
  <c r="L75" i="22" s="1"/>
  <c r="L101" i="22"/>
  <c r="L85" i="22"/>
  <c r="L82" i="22"/>
  <c r="L78" i="22"/>
  <c r="L108" i="20"/>
  <c r="L104" i="20"/>
  <c r="L88" i="20"/>
  <c r="L81" i="20"/>
  <c r="L75" i="20"/>
  <c r="L55" i="20"/>
  <c r="L48" i="20"/>
  <c r="L27" i="20"/>
  <c r="L45" i="20"/>
  <c r="L52" i="20"/>
  <c r="L58" i="20"/>
  <c r="L78" i="20"/>
  <c r="L85" i="20"/>
  <c r="L92" i="20"/>
  <c r="L100" i="20"/>
  <c r="L39" i="20"/>
  <c r="L42" i="20"/>
  <c r="L36" i="20"/>
  <c r="L33" i="20"/>
  <c r="L15" i="20"/>
  <c r="L9" i="20"/>
  <c r="L12" i="20"/>
  <c r="L18" i="20"/>
  <c r="L21" i="20"/>
  <c r="L30" i="20"/>
  <c r="K39" i="19"/>
  <c r="L39" i="19" s="1"/>
  <c r="K98" i="19"/>
  <c r="L98" i="19" s="1"/>
  <c r="L9" i="19"/>
  <c r="L86" i="19"/>
  <c r="L94" i="19"/>
  <c r="L21" i="19"/>
  <c r="L27" i="19"/>
  <c r="K72" i="19"/>
  <c r="L72" i="19" s="1"/>
  <c r="L49" i="19"/>
  <c r="K24" i="19"/>
  <c r="L24" i="19" s="1"/>
  <c r="K36" i="19"/>
  <c r="L36" i="19" s="1"/>
  <c r="L82" i="19"/>
  <c r="K42" i="19"/>
  <c r="L42" i="19" s="1"/>
  <c r="L79" i="19"/>
  <c r="L12" i="19"/>
  <c r="L45" i="19"/>
  <c r="L52" i="19"/>
  <c r="L75" i="19"/>
  <c r="L90" i="19"/>
  <c r="L58" i="19"/>
  <c r="L55" i="19"/>
  <c r="L33" i="19"/>
  <c r="L30" i="19"/>
  <c r="K18" i="19"/>
  <c r="L18" i="19" s="1"/>
  <c r="L15" i="19"/>
  <c r="L127" i="7" l="1"/>
  <c r="H127" i="7"/>
  <c r="M127" i="7" s="1"/>
  <c r="L124" i="7"/>
  <c r="H124" i="7"/>
  <c r="M124" i="7" s="1"/>
  <c r="L120" i="7"/>
  <c r="H120" i="7"/>
  <c r="L116" i="7"/>
  <c r="H116" i="7"/>
  <c r="L109" i="7"/>
  <c r="H109" i="7"/>
  <c r="L106" i="7"/>
  <c r="M106" i="7" s="1"/>
  <c r="H106" i="7"/>
  <c r="L102" i="7"/>
  <c r="H102" i="7"/>
  <c r="M102" i="7" s="1"/>
  <c r="L99" i="7"/>
  <c r="H99" i="7"/>
  <c r="M99" i="7" s="1"/>
  <c r="L95" i="7"/>
  <c r="H95" i="7"/>
  <c r="L92" i="7"/>
  <c r="H92" i="7"/>
  <c r="M92" i="7" s="1"/>
  <c r="L88" i="7"/>
  <c r="H88" i="7"/>
  <c r="L79" i="7"/>
  <c r="H79" i="7"/>
  <c r="L75" i="7"/>
  <c r="H75" i="7"/>
  <c r="L72" i="7"/>
  <c r="H72" i="7"/>
  <c r="M72" i="7" s="1"/>
  <c r="K69" i="7"/>
  <c r="L69" i="7" s="1"/>
  <c r="H69" i="7"/>
  <c r="K66" i="7"/>
  <c r="L66" i="7" s="1"/>
  <c r="H66" i="7"/>
  <c r="L63" i="7"/>
  <c r="H63" i="7"/>
  <c r="M63" i="7" s="1"/>
  <c r="L60" i="7"/>
  <c r="H60" i="7"/>
  <c r="M60" i="7" s="1"/>
  <c r="L56" i="7"/>
  <c r="H56" i="7"/>
  <c r="L53" i="7"/>
  <c r="H53" i="7"/>
  <c r="M53" i="7" s="1"/>
  <c r="L50" i="7"/>
  <c r="H50" i="7"/>
  <c r="L40" i="7"/>
  <c r="H40" i="7"/>
  <c r="L37" i="7"/>
  <c r="H37" i="7"/>
  <c r="K34" i="7"/>
  <c r="L34" i="7" s="1"/>
  <c r="H34" i="7"/>
  <c r="L31" i="7"/>
  <c r="H31" i="7"/>
  <c r="M31" i="7" s="1"/>
  <c r="L28" i="7"/>
  <c r="H28" i="7"/>
  <c r="L25" i="7"/>
  <c r="H25" i="7"/>
  <c r="M25" i="7" s="1"/>
  <c r="K22" i="7"/>
  <c r="L22" i="7" s="1"/>
  <c r="H22" i="7"/>
  <c r="L19" i="7"/>
  <c r="M19" i="7" s="1"/>
  <c r="H19" i="7"/>
  <c r="L16" i="7"/>
  <c r="H16" i="7"/>
  <c r="M16" i="7" s="1"/>
  <c r="L13" i="7"/>
  <c r="H13" i="7"/>
  <c r="M13" i="7" s="1"/>
  <c r="L10" i="7"/>
  <c r="H10" i="7"/>
  <c r="M10" i="7" s="1"/>
  <c r="L114" i="6"/>
  <c r="H114" i="6"/>
  <c r="L111" i="6"/>
  <c r="H111" i="6"/>
  <c r="M111" i="6" s="1"/>
  <c r="L107" i="6"/>
  <c r="H107" i="6"/>
  <c r="L103" i="6"/>
  <c r="H103" i="6"/>
  <c r="K96" i="6"/>
  <c r="L96" i="6" s="1"/>
  <c r="H96" i="6"/>
  <c r="L93" i="6"/>
  <c r="H93" i="6"/>
  <c r="L89" i="6"/>
  <c r="H89" i="6"/>
  <c r="M89" i="6" s="1"/>
  <c r="L86" i="6"/>
  <c r="H86" i="6"/>
  <c r="L82" i="6"/>
  <c r="H82" i="6"/>
  <c r="L79" i="6"/>
  <c r="H79" i="6"/>
  <c r="L75" i="6"/>
  <c r="H75" i="6"/>
  <c r="L72" i="6"/>
  <c r="H72" i="6"/>
  <c r="M72" i="6" s="1"/>
  <c r="L68" i="6"/>
  <c r="H68" i="6"/>
  <c r="M68" i="6" s="1"/>
  <c r="L65" i="6"/>
  <c r="H65" i="6"/>
  <c r="K62" i="6"/>
  <c r="L62" i="6" s="1"/>
  <c r="H62" i="6"/>
  <c r="K59" i="6"/>
  <c r="L59" i="6" s="1"/>
  <c r="H59" i="6"/>
  <c r="L56" i="6"/>
  <c r="M56" i="6" s="1"/>
  <c r="H56" i="6"/>
  <c r="L53" i="6"/>
  <c r="H53" i="6"/>
  <c r="K46" i="6"/>
  <c r="L46" i="6" s="1"/>
  <c r="H46" i="6"/>
  <c r="L43" i="6"/>
  <c r="H43" i="6"/>
  <c r="L40" i="6"/>
  <c r="H40" i="6"/>
  <c r="M40" i="6" s="1"/>
  <c r="L37" i="6"/>
  <c r="H37" i="6"/>
  <c r="M37" i="6" s="1"/>
  <c r="L34" i="6"/>
  <c r="H34" i="6"/>
  <c r="L31" i="6"/>
  <c r="H31" i="6"/>
  <c r="L28" i="6"/>
  <c r="H28" i="6"/>
  <c r="M28" i="6" s="1"/>
  <c r="L25" i="6"/>
  <c r="H25" i="6"/>
  <c r="M25" i="6" s="1"/>
  <c r="K22" i="6"/>
  <c r="L22" i="6" s="1"/>
  <c r="H22" i="6"/>
  <c r="L19" i="6"/>
  <c r="H19" i="6"/>
  <c r="L16" i="6"/>
  <c r="H16" i="6"/>
  <c r="L13" i="6"/>
  <c r="H13" i="6"/>
  <c r="L10" i="6"/>
  <c r="H10" i="6"/>
  <c r="L105" i="5"/>
  <c r="H105" i="5"/>
  <c r="L101" i="5"/>
  <c r="H101" i="5"/>
  <c r="L97" i="5"/>
  <c r="M97" i="5" s="1"/>
  <c r="H97" i="5"/>
  <c r="L90" i="5"/>
  <c r="H90" i="5"/>
  <c r="M90" i="5" s="1"/>
  <c r="L86" i="5"/>
  <c r="H86" i="5"/>
  <c r="M86" i="5" s="1"/>
  <c r="L83" i="5"/>
  <c r="H83" i="5"/>
  <c r="L79" i="5"/>
  <c r="H79" i="5"/>
  <c r="L76" i="5"/>
  <c r="H76" i="5"/>
  <c r="M76" i="5" s="1"/>
  <c r="L72" i="5"/>
  <c r="H72" i="5"/>
  <c r="L69" i="5"/>
  <c r="H69" i="5"/>
  <c r="L65" i="5"/>
  <c r="H65" i="5"/>
  <c r="M65" i="5" s="1"/>
  <c r="L62" i="5"/>
  <c r="B62" i="5"/>
  <c r="H62" i="5" s="1"/>
  <c r="K59" i="5"/>
  <c r="L59" i="5" s="1"/>
  <c r="H59" i="5"/>
  <c r="K56" i="5"/>
  <c r="L56" i="5" s="1"/>
  <c r="H56" i="5"/>
  <c r="L53" i="5"/>
  <c r="H53" i="5"/>
  <c r="L50" i="5"/>
  <c r="K50" i="5"/>
  <c r="H50" i="5"/>
  <c r="L43" i="5"/>
  <c r="H43" i="5"/>
  <c r="M43" i="5" s="1"/>
  <c r="L40" i="5"/>
  <c r="H40" i="5"/>
  <c r="L37" i="5"/>
  <c r="H37" i="5"/>
  <c r="L34" i="5"/>
  <c r="B34" i="5"/>
  <c r="H34" i="5" s="1"/>
  <c r="M34" i="5" s="1"/>
  <c r="L31" i="5"/>
  <c r="H31" i="5"/>
  <c r="M31" i="5" s="1"/>
  <c r="L28" i="5"/>
  <c r="H28" i="5"/>
  <c r="L25" i="5"/>
  <c r="B25" i="5"/>
  <c r="H25" i="5" s="1"/>
  <c r="M25" i="5" s="1"/>
  <c r="K22" i="5"/>
  <c r="L22" i="5" s="1"/>
  <c r="H22" i="5"/>
  <c r="L19" i="5"/>
  <c r="H19" i="5"/>
  <c r="M19" i="5" s="1"/>
  <c r="L16" i="5"/>
  <c r="B16" i="5"/>
  <c r="H16" i="5" s="1"/>
  <c r="M16" i="5" s="1"/>
  <c r="K13" i="5"/>
  <c r="L13" i="5" s="1"/>
  <c r="H13" i="5"/>
  <c r="L10" i="5"/>
  <c r="H10" i="5"/>
  <c r="L88" i="4"/>
  <c r="H88" i="4"/>
  <c r="M88" i="4" s="1"/>
  <c r="L81" i="4"/>
  <c r="H81" i="4"/>
  <c r="M81" i="4" s="1"/>
  <c r="L77" i="4"/>
  <c r="H77" i="4"/>
  <c r="M77" i="4" s="1"/>
  <c r="L73" i="4"/>
  <c r="H73" i="4"/>
  <c r="L70" i="4"/>
  <c r="H70" i="4"/>
  <c r="M70" i="4" s="1"/>
  <c r="L66" i="4"/>
  <c r="H66" i="4"/>
  <c r="L63" i="4"/>
  <c r="H63" i="4"/>
  <c r="L59" i="4"/>
  <c r="H59" i="4"/>
  <c r="L56" i="4"/>
  <c r="H56" i="4"/>
  <c r="M56" i="4" s="1"/>
  <c r="K53" i="4"/>
  <c r="L53" i="4" s="1"/>
  <c r="H53" i="4"/>
  <c r="K50" i="4"/>
  <c r="L50" i="4" s="1"/>
  <c r="H50" i="4"/>
  <c r="L47" i="4"/>
  <c r="H47" i="4"/>
  <c r="M47" i="4" s="1"/>
  <c r="L40" i="4"/>
  <c r="H40" i="4"/>
  <c r="L37" i="4"/>
  <c r="H37" i="4"/>
  <c r="K34" i="4"/>
  <c r="L34" i="4" s="1"/>
  <c r="H34" i="4"/>
  <c r="K31" i="4"/>
  <c r="L31" i="4" s="1"/>
  <c r="H31" i="4"/>
  <c r="L28" i="4"/>
  <c r="H28" i="4"/>
  <c r="L25" i="4"/>
  <c r="H25" i="4"/>
  <c r="K22" i="4"/>
  <c r="L22" i="4" s="1"/>
  <c r="M22" i="4" s="1"/>
  <c r="H22" i="4"/>
  <c r="K19" i="4"/>
  <c r="L19" i="4" s="1"/>
  <c r="M19" i="4" s="1"/>
  <c r="H19" i="4"/>
  <c r="K16" i="4"/>
  <c r="L16" i="4" s="1"/>
  <c r="H16" i="4"/>
  <c r="K13" i="4"/>
  <c r="L13" i="4" s="1"/>
  <c r="M13" i="4" s="1"/>
  <c r="H13" i="4"/>
  <c r="L10" i="4"/>
  <c r="H10" i="4"/>
  <c r="L73" i="3"/>
  <c r="H73" i="3"/>
  <c r="L69" i="3"/>
  <c r="H69" i="3"/>
  <c r="L65" i="3"/>
  <c r="H65" i="3"/>
  <c r="M65" i="3" s="1"/>
  <c r="L62" i="3"/>
  <c r="H62" i="3"/>
  <c r="M62" i="3" s="1"/>
  <c r="L58" i="3"/>
  <c r="H58" i="3"/>
  <c r="L54" i="3"/>
  <c r="H54" i="3"/>
  <c r="M54" i="3" s="1"/>
  <c r="L51" i="3"/>
  <c r="H51" i="3"/>
  <c r="K48" i="3"/>
  <c r="L48" i="3" s="1"/>
  <c r="M48" i="3" s="1"/>
  <c r="H48" i="3"/>
  <c r="K45" i="3"/>
  <c r="L45" i="3" s="1"/>
  <c r="H45" i="3"/>
  <c r="L42" i="3"/>
  <c r="H42" i="3"/>
  <c r="L35" i="3"/>
  <c r="M35" i="3" s="1"/>
  <c r="H35" i="3"/>
  <c r="L32" i="3"/>
  <c r="H32" i="3"/>
  <c r="M32" i="3" s="1"/>
  <c r="L29" i="3"/>
  <c r="H29" i="3"/>
  <c r="M29" i="3" s="1"/>
  <c r="L26" i="3"/>
  <c r="H26" i="3"/>
  <c r="K23" i="3"/>
  <c r="L23" i="3" s="1"/>
  <c r="H23" i="3"/>
  <c r="K20" i="3"/>
  <c r="L20" i="3" s="1"/>
  <c r="H20" i="3"/>
  <c r="K17" i="3"/>
  <c r="L17" i="3" s="1"/>
  <c r="H17" i="3"/>
  <c r="L14" i="3"/>
  <c r="K14" i="3"/>
  <c r="H14" i="3"/>
  <c r="M14" i="3" s="1"/>
  <c r="L11" i="3"/>
  <c r="H11" i="3"/>
  <c r="M37" i="7" l="1"/>
  <c r="M73" i="3"/>
  <c r="M16" i="4"/>
  <c r="M79" i="6"/>
  <c r="M28" i="4"/>
  <c r="M10" i="5"/>
  <c r="M16" i="6"/>
  <c r="M20" i="3"/>
  <c r="M45" i="3"/>
  <c r="M40" i="5"/>
  <c r="M75" i="7"/>
  <c r="M26" i="3"/>
  <c r="M69" i="3"/>
  <c r="M40" i="4"/>
  <c r="M59" i="4"/>
  <c r="M53" i="5"/>
  <c r="M62" i="5"/>
  <c r="M83" i="5"/>
  <c r="M10" i="6"/>
  <c r="M19" i="6"/>
  <c r="M75" i="6"/>
  <c r="M28" i="7"/>
  <c r="M34" i="7"/>
  <c r="M95" i="7"/>
  <c r="M23" i="3"/>
  <c r="M42" i="3"/>
  <c r="M58" i="3"/>
  <c r="M25" i="4"/>
  <c r="M34" i="4"/>
  <c r="M66" i="4"/>
  <c r="M13" i="5"/>
  <c r="M28" i="5"/>
  <c r="M59" i="5"/>
  <c r="M69" i="5"/>
  <c r="M79" i="5"/>
  <c r="M105" i="5"/>
  <c r="M31" i="6"/>
  <c r="M46" i="6"/>
  <c r="M59" i="6"/>
  <c r="M65" i="6"/>
  <c r="M86" i="6"/>
  <c r="M107" i="6"/>
  <c r="M22" i="7"/>
  <c r="M50" i="7"/>
  <c r="M88" i="7"/>
  <c r="M116" i="7"/>
  <c r="M11" i="3"/>
  <c r="M17" i="3"/>
  <c r="M51" i="3"/>
  <c r="M10" i="4"/>
  <c r="M31" i="4"/>
  <c r="M37" i="4"/>
  <c r="M53" i="4"/>
  <c r="M63" i="4"/>
  <c r="M73" i="4"/>
  <c r="M37" i="5"/>
  <c r="M56" i="5"/>
  <c r="M72" i="5"/>
  <c r="M101" i="5"/>
  <c r="M13" i="6"/>
  <c r="M34" i="6"/>
  <c r="M43" i="6"/>
  <c r="M53" i="6"/>
  <c r="M62" i="6"/>
  <c r="M82" i="6"/>
  <c r="M93" i="6"/>
  <c r="M103" i="6"/>
  <c r="M114" i="6"/>
  <c r="M40" i="7"/>
  <c r="M56" i="7"/>
  <c r="M69" i="7"/>
  <c r="M79" i="7"/>
  <c r="M109" i="7"/>
  <c r="M120" i="7"/>
  <c r="M50" i="4"/>
  <c r="M50" i="5"/>
  <c r="M22" i="6"/>
  <c r="M96" i="6"/>
  <c r="M66" i="7"/>
  <c r="M22" i="5"/>
</calcChain>
</file>

<file path=xl/sharedStrings.xml><?xml version="1.0" encoding="utf-8"?>
<sst xmlns="http://schemas.openxmlformats.org/spreadsheetml/2006/main" count="1104" uniqueCount="157">
  <si>
    <t>Conselho Regional dos Técnicos Insdustriais da Primeira Região</t>
  </si>
  <si>
    <t>Mês: 05</t>
  </si>
  <si>
    <t xml:space="preserve">Nome </t>
  </si>
  <si>
    <t xml:space="preserve">Remuneração </t>
  </si>
  <si>
    <t>Férias</t>
  </si>
  <si>
    <t>Abono Pecuniário</t>
  </si>
  <si>
    <t>Adiant  13º salário</t>
  </si>
  <si>
    <t>Auxílios  e Benefícios</t>
  </si>
  <si>
    <t>Gratificação</t>
  </si>
  <si>
    <t>Total de Rendimentos</t>
  </si>
  <si>
    <t>IR</t>
  </si>
  <si>
    <t>INSS</t>
  </si>
  <si>
    <t>Outros Descontos</t>
  </si>
  <si>
    <t>Total                           Descontos</t>
  </si>
  <si>
    <t>Total                              Liquído</t>
  </si>
  <si>
    <t>Cargo</t>
  </si>
  <si>
    <t>Data de admissão</t>
  </si>
  <si>
    <t>SEDE- BRASÍLIA</t>
  </si>
  <si>
    <t>Alessandra Yoshie Sakurai Uenoyama</t>
  </si>
  <si>
    <t xml:space="preserve">Assessora Jurídica </t>
  </si>
  <si>
    <t>Carla Cristina Capuzo</t>
  </si>
  <si>
    <t>Auxíiar Administrativo</t>
  </si>
  <si>
    <t>Francilene da Silva Mesquita Hash Shash</t>
  </si>
  <si>
    <t>Assistete Administrativo</t>
  </si>
  <si>
    <t>Helio Velozo Xavier Junior</t>
  </si>
  <si>
    <t>Iracy Vieira Santos Silvano</t>
  </si>
  <si>
    <t>Gerente de Infraestrutura</t>
  </si>
  <si>
    <t>Leandra Soares Bueno</t>
  </si>
  <si>
    <t>Gerente Financeiro</t>
  </si>
  <si>
    <t>Talita Mendonça Medeiros</t>
  </si>
  <si>
    <t>Assessora Contábil</t>
  </si>
  <si>
    <t>Tatyana Botelho Lima e Silva</t>
  </si>
  <si>
    <t xml:space="preserve">Chefe de Gabinete </t>
  </si>
  <si>
    <t>GOIÁS</t>
  </si>
  <si>
    <t xml:space="preserve">João Batista da Silva </t>
  </si>
  <si>
    <t>Gerente de Fiscalização</t>
  </si>
  <si>
    <t>Juliana Fernandes da Silva Sampaio</t>
  </si>
  <si>
    <t>Thibério Jardim de Oliveira</t>
  </si>
  <si>
    <t>Auxiliar Administrativo</t>
  </si>
  <si>
    <t>Vanderlei Pereira</t>
  </si>
  <si>
    <t>Assessor - 01</t>
  </si>
  <si>
    <t>Willians Matheus Telis Portilho</t>
  </si>
  <si>
    <t>CAMPO GRANDE-MS</t>
  </si>
  <si>
    <t xml:space="preserve">Luiz Claúdio Silva </t>
  </si>
  <si>
    <t>Agente de Fiscalização</t>
  </si>
  <si>
    <t xml:space="preserve">MANAUS-AM </t>
  </si>
  <si>
    <t xml:space="preserve">Hewllen Barbosa da Silva </t>
  </si>
  <si>
    <t>Luciana de Souza Barbosa</t>
  </si>
  <si>
    <t>CUIABÁ-MT</t>
  </si>
  <si>
    <t>Sílvio Júnior Oliveira de Araújo</t>
  </si>
  <si>
    <t>PALMAS -TO</t>
  </si>
  <si>
    <t xml:space="preserve">Rosilda Pereira da Silva </t>
  </si>
  <si>
    <t xml:space="preserve">Coordenadora </t>
  </si>
  <si>
    <t>RESCISÃO</t>
  </si>
  <si>
    <t xml:space="preserve">  13º salário</t>
  </si>
  <si>
    <t>Multa - art 477</t>
  </si>
  <si>
    <t xml:space="preserve">Simone de Oliveira Moura Dias </t>
  </si>
  <si>
    <t>Mês: 07</t>
  </si>
  <si>
    <t>Edna Alves de Oliveira</t>
  </si>
  <si>
    <t>Assistente Adminstrativo</t>
  </si>
  <si>
    <t>Mês: 08</t>
  </si>
  <si>
    <t>Patrícia Cândido Alvim</t>
  </si>
  <si>
    <t>Rógerio Ferreira Ferreira</t>
  </si>
  <si>
    <t>Liliam Veronese</t>
  </si>
  <si>
    <t>RORAIMA-RR</t>
  </si>
  <si>
    <t>Vanessa Raquel Pereira Pontes da Silva</t>
  </si>
  <si>
    <t>Mês: 09</t>
  </si>
  <si>
    <t>Ariana de Lourdes Macedo Dias</t>
  </si>
  <si>
    <t>Agente de fiscalização</t>
  </si>
  <si>
    <t>Assistente Administrativo</t>
  </si>
  <si>
    <t>Assistente de Tecnologia da Informação</t>
  </si>
  <si>
    <t>Gerente Técnico</t>
  </si>
  <si>
    <t>Auxíliar Adminstrativo</t>
  </si>
  <si>
    <t>Dayane Ffernandes de Aquino</t>
  </si>
  <si>
    <t>Assessor da Presidência I</t>
  </si>
  <si>
    <t>Vinicius Antônio Oliveira da Silva</t>
  </si>
  <si>
    <t>ACRE</t>
  </si>
  <si>
    <t>Marcelo Pinto da Silva</t>
  </si>
  <si>
    <t>RONDÔNIA - RO</t>
  </si>
  <si>
    <t>Andra cardoso de almeida da silva</t>
  </si>
  <si>
    <t>Mês: 10</t>
  </si>
  <si>
    <t>Assessor de Tecnologia da Informação</t>
  </si>
  <si>
    <t>Assist. de Tecnologia da Informação</t>
  </si>
  <si>
    <t>Thaís Furtado Tomaz Barbosa</t>
  </si>
  <si>
    <t>Assitente Administrativo</t>
  </si>
  <si>
    <t>Tiessa Aparecida Luiz Costa e Silva</t>
  </si>
  <si>
    <t>Jocimar Nascimento da Silva</t>
  </si>
  <si>
    <t>Mês: 11</t>
  </si>
  <si>
    <t>Lilian Judite Parente</t>
  </si>
  <si>
    <t>Andra Cardoso de Almeida da Silva</t>
  </si>
  <si>
    <t>Conselho Regional de Odontologia do Estado do Mato Grosso</t>
  </si>
  <si>
    <t>Mês: 01</t>
  </si>
  <si>
    <t>Férias + 1/3</t>
  </si>
  <si>
    <t>Anuênio</t>
  </si>
  <si>
    <t>Adiant. 13º</t>
  </si>
  <si>
    <t>IRRF</t>
  </si>
  <si>
    <t>001 - Gestão Administrativa</t>
  </si>
  <si>
    <t>Adrielli Suzamar do Nascimento Eickhoff</t>
  </si>
  <si>
    <t>Assessora Jurídica</t>
  </si>
  <si>
    <t>Alan Victor Ribeiro da Silva</t>
  </si>
  <si>
    <t>Assistente Adm Geral 1</t>
  </si>
  <si>
    <t>César Alexandre Pereira</t>
  </si>
  <si>
    <t>Analista Adm. Financeiro 1</t>
  </si>
  <si>
    <t>Cláudia Almeida</t>
  </si>
  <si>
    <t>Gerente Geral 2</t>
  </si>
  <si>
    <t>Fernanda Pereira da Silva Hahn</t>
  </si>
  <si>
    <t>Analista Adm. Financeiro Inicial</t>
  </si>
  <si>
    <t>Gabriela Albuquerque Almeida</t>
  </si>
  <si>
    <t>Assistente Adm. Geral Inicial</t>
  </si>
  <si>
    <t>Jéssika Sheyenne Floriano Cardoso de Lara Pinto</t>
  </si>
  <si>
    <t>Analista Adm. Compras 1</t>
  </si>
  <si>
    <t>Luciana Duarte Leite</t>
  </si>
  <si>
    <t>Mayara Barbosa Lima</t>
  </si>
  <si>
    <t>Analista Adm. Compra Inicial</t>
  </si>
  <si>
    <t>Moises da Costa Silva</t>
  </si>
  <si>
    <t>Raissa Morais Cruzeiro</t>
  </si>
  <si>
    <t>Assistente Adm. Geral 1</t>
  </si>
  <si>
    <t>Raul Peterson de Jesus Santana</t>
  </si>
  <si>
    <t>Rodrigo Roaldo Soares Carvalho de Jesus</t>
  </si>
  <si>
    <t>Assistente Ad. Tec Inf Inicial</t>
  </si>
  <si>
    <t>002 - Cadastro/Registro</t>
  </si>
  <si>
    <t>Candida Soares Leque</t>
  </si>
  <si>
    <t>Assistente Ad. Geral 7</t>
  </si>
  <si>
    <t>Ionara Tavares de Oliveira</t>
  </si>
  <si>
    <t>Iuryka Borges Fernandes</t>
  </si>
  <si>
    <t>Jéssica de Castro Francschini</t>
  </si>
  <si>
    <t>Assistente Adm.Geral 7</t>
  </si>
  <si>
    <t>Rafael Perin dos Reis</t>
  </si>
  <si>
    <t>Rogério Severino de Andrade</t>
  </si>
  <si>
    <t>003 - Fiscalização Sede</t>
  </si>
  <si>
    <t>Rogério José dos Reis</t>
  </si>
  <si>
    <t>Assistente Adm. Fiscal Inicial</t>
  </si>
  <si>
    <t>Rudisan César Rodrigues Andrade</t>
  </si>
  <si>
    <t>Assistente Adm. Fiscal 1</t>
  </si>
  <si>
    <t>004 - Fiscalização Tangará</t>
  </si>
  <si>
    <t>Gilmar Pereira Batista</t>
  </si>
  <si>
    <t>Assistente Ad. Fiscal 1</t>
  </si>
  <si>
    <t>005 - Fiscalização Barra do Garças</t>
  </si>
  <si>
    <t>Renato Ayres Brito</t>
  </si>
  <si>
    <t>006 - Fiscalização Sinop</t>
  </si>
  <si>
    <t>Elma Gonçalves Torres Marques da Silva</t>
  </si>
  <si>
    <t>007 - Fiscalização Rondonópolis</t>
  </si>
  <si>
    <t>Silvania Camacho Ramos</t>
  </si>
  <si>
    <t>Mês: 02</t>
  </si>
  <si>
    <t>Analista Adm. Financeiro 2</t>
  </si>
  <si>
    <t>Gustavo Amaral da Silva</t>
  </si>
  <si>
    <t>Assessor Jurídico</t>
  </si>
  <si>
    <t>008 - Estágio Gestão Administrativa</t>
  </si>
  <si>
    <t>Carina Natalia Arruda Tibaldi</t>
  </si>
  <si>
    <t>Estagiária</t>
  </si>
  <si>
    <t>Mês: 03</t>
  </si>
  <si>
    <t>Assistente Adm Geral 2</t>
  </si>
  <si>
    <t>DESLIGAMENTO  04/03/2022</t>
  </si>
  <si>
    <t>Mês: 4</t>
  </si>
  <si>
    <t>Mês: 04</t>
  </si>
  <si>
    <t>Renata Pedrozo Lino</t>
  </si>
  <si>
    <t>Assistente Adm Geral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</si>
</sst>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\ #,##0.00"/>
    <numFmt numFmtId="167" formatCode="_-&quot;R$&quot;* #,##0.00_-;\-&quot;R$&quot;* #,##0.00_-;_-&quot;R$&quot;* &quot;-&quot;??_-;_-@"/>
    <numFmt numFmtId="168" formatCode="&quot;R$&quot;#,##0.00"/>
  </numFmts>
  <fonts count="12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4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6" fontId="4" fillId="0" borderId="2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vertical="top"/>
    </xf>
    <xf numFmtId="0" fontId="5" fillId="0" borderId="5" xfId="0" applyFont="1" applyBorder="1"/>
    <xf numFmtId="166" fontId="4" fillId="0" borderId="5" xfId="0" applyNumberFormat="1" applyFont="1" applyBorder="1" applyAlignment="1">
      <alignment horizontal="center"/>
    </xf>
    <xf numFmtId="0" fontId="6" fillId="0" borderId="6" xfId="0" applyFont="1" applyBorder="1"/>
    <xf numFmtId="166" fontId="4" fillId="0" borderId="6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4" fontId="5" fillId="0" borderId="7" xfId="0" applyNumberFormat="1" applyFont="1" applyBorder="1" applyAlignment="1">
      <alignment horizontal="left"/>
    </xf>
    <xf numFmtId="166" fontId="4" fillId="0" borderId="7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vertical="center"/>
    </xf>
    <xf numFmtId="0" fontId="5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167" fontId="3" fillId="0" borderId="0" xfId="0" applyNumberFormat="1" applyFont="1"/>
    <xf numFmtId="166" fontId="4" fillId="0" borderId="2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3" fillId="0" borderId="7" xfId="0" applyNumberFormat="1" applyFont="1" applyBorder="1"/>
    <xf numFmtId="166" fontId="3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0" fontId="5" fillId="0" borderId="12" xfId="0" applyFont="1" applyBorder="1"/>
    <xf numFmtId="166" fontId="4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/>
    <xf numFmtId="166" fontId="3" fillId="0" borderId="12" xfId="0" applyNumberFormat="1" applyFont="1" applyBorder="1" applyAlignment="1">
      <alignment horizontal="center"/>
    </xf>
    <xf numFmtId="14" fontId="4" fillId="0" borderId="0" xfId="0" applyNumberFormat="1" applyFont="1"/>
    <xf numFmtId="166" fontId="4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3" fillId="0" borderId="0" xfId="0" applyNumberFormat="1" applyFont="1"/>
    <xf numFmtId="14" fontId="4" fillId="0" borderId="2" xfId="0" applyNumberFormat="1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/>
    </xf>
    <xf numFmtId="14" fontId="9" fillId="0" borderId="2" xfId="0" applyNumberFormat="1" applyFont="1" applyBorder="1" applyAlignment="1">
      <alignment horizontal="left" vertical="center"/>
    </xf>
    <xf numFmtId="0" fontId="3" fillId="2" borderId="11" xfId="0" applyFont="1" applyFill="1" applyBorder="1"/>
    <xf numFmtId="14" fontId="4" fillId="0" borderId="11" xfId="0" applyNumberFormat="1" applyFont="1" applyBorder="1" applyAlignment="1">
      <alignment horizontal="left"/>
    </xf>
    <xf numFmtId="164" fontId="4" fillId="0" borderId="0" xfId="1" applyFont="1" applyAlignment="1">
      <alignment horizontal="center" vertical="center"/>
    </xf>
    <xf numFmtId="164" fontId="4" fillId="0" borderId="2" xfId="1" applyFont="1" applyBorder="1" applyAlignment="1">
      <alignment horizontal="center"/>
    </xf>
    <xf numFmtId="164" fontId="4" fillId="0" borderId="2" xfId="1" applyFont="1" applyBorder="1" applyAlignment="1">
      <alignment horizontal="center" vertical="center"/>
    </xf>
    <xf numFmtId="164" fontId="4" fillId="0" borderId="0" xfId="1" applyFont="1" applyAlignment="1">
      <alignment horizontal="center"/>
    </xf>
    <xf numFmtId="164" fontId="4" fillId="0" borderId="11" xfId="1" applyFont="1" applyBorder="1" applyAlignment="1">
      <alignment horizontal="center"/>
    </xf>
    <xf numFmtId="164" fontId="8" fillId="0" borderId="2" xfId="1" applyFont="1" applyBorder="1" applyAlignment="1">
      <alignment horizontal="center" vertical="center"/>
    </xf>
    <xf numFmtId="164" fontId="3" fillId="0" borderId="0" xfId="1" applyFont="1"/>
    <xf numFmtId="164" fontId="3" fillId="0" borderId="0" xfId="1" applyFont="1" applyAlignment="1">
      <alignment horizontal="center" vertical="center"/>
    </xf>
    <xf numFmtId="164" fontId="0" fillId="0" borderId="0" xfId="1" applyFont="1"/>
    <xf numFmtId="164" fontId="0" fillId="0" borderId="0" xfId="1" applyFont="1" applyAlignment="1"/>
    <xf numFmtId="164" fontId="3" fillId="0" borderId="0" xfId="1" applyFont="1" applyAlignment="1"/>
    <xf numFmtId="0" fontId="4" fillId="0" borderId="11" xfId="0" applyFont="1" applyBorder="1"/>
    <xf numFmtId="164" fontId="4" fillId="0" borderId="0" xfId="1" applyFont="1" applyFill="1" applyAlignment="1">
      <alignment horizontal="center" vertical="center"/>
    </xf>
    <xf numFmtId="164" fontId="4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/>
    </xf>
    <xf numFmtId="164" fontId="4" fillId="0" borderId="11" xfId="1" applyFont="1" applyFill="1" applyBorder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4" fillId="0" borderId="11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0" fillId="0" borderId="0" xfId="1" applyFont="1" applyFill="1"/>
    <xf numFmtId="164" fontId="0" fillId="0" borderId="0" xfId="1" applyFont="1" applyFill="1" applyAlignment="1"/>
    <xf numFmtId="14" fontId="8" fillId="0" borderId="11" xfId="0" applyNumberFormat="1" applyFont="1" applyBorder="1" applyAlignment="1">
      <alignment horizontal="left"/>
    </xf>
    <xf numFmtId="164" fontId="4" fillId="0" borderId="1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/>
    <xf numFmtId="164" fontId="4" fillId="0" borderId="13" xfId="1" applyFont="1" applyBorder="1" applyAlignment="1"/>
    <xf numFmtId="164" fontId="11" fillId="0" borderId="2" xfId="1" applyFont="1" applyFill="1" applyBorder="1" applyAlignment="1">
      <alignment horizontal="center" vertical="center"/>
    </xf>
    <xf numFmtId="0" fontId="8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1" xfId="0" applyFont="1" applyFill="1" applyBorder="1" applyAlignment="1">
      <alignment vertical="top"/>
    </xf>
    <xf numFmtId="0" fontId="4" fillId="2" borderId="5" xfId="0" applyFont="1" applyFill="1" applyBorder="1"/>
    <xf numFmtId="0" fontId="4" fillId="2" borderId="4" xfId="0" applyFont="1" applyFill="1" applyBorder="1"/>
    <xf numFmtId="14" fontId="4" fillId="0" borderId="4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0" fillId="0" borderId="0" xfId="0" applyAlignment="1"/>
    <xf numFmtId="0" fontId="4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4" xfId="0" applyFont="1" applyBorder="1" applyAlignment="1"/>
    <xf numFmtId="0" fontId="4" fillId="2" borderId="3" xfId="0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5" xfId="0" applyFont="1" applyBorder="1" applyAlignment="1"/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workbookViewId="0"/>
  </sheetViews>
  <sheetFormatPr defaultColWidth="12.625" defaultRowHeight="15" customHeight="1" x14ac:dyDescent="0.2"/>
  <cols>
    <col min="1" max="1" width="7.625" customWidth="1"/>
    <col min="2" max="2" width="9.375" customWidth="1"/>
    <col min="3" max="7" width="7.625" customWidth="1"/>
    <col min="8" max="8" width="13.875" customWidth="1"/>
    <col min="9" max="11" width="7.625" customWidth="1"/>
    <col min="12" max="12" width="17.125" customWidth="1"/>
    <col min="13" max="13" width="16" customWidth="1"/>
    <col min="14" max="33" width="7.625" customWidth="1"/>
  </cols>
  <sheetData>
    <row r="1" spans="1:18" x14ac:dyDescent="0.25">
      <c r="A1" s="10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52"/>
      <c r="O1" s="1"/>
      <c r="P1" s="1"/>
      <c r="Q1" s="1"/>
      <c r="R1" s="1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1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52"/>
      <c r="O4" s="1"/>
      <c r="P4" s="1"/>
      <c r="Q4" s="1"/>
      <c r="R4" s="1"/>
    </row>
    <row r="5" spans="1:18" x14ac:dyDescent="0.25">
      <c r="A5" s="91" t="s">
        <v>2</v>
      </c>
      <c r="B5" s="102" t="s">
        <v>3</v>
      </c>
      <c r="C5" s="102" t="s">
        <v>4</v>
      </c>
      <c r="D5" s="99" t="s">
        <v>5</v>
      </c>
      <c r="E5" s="99" t="s">
        <v>6</v>
      </c>
      <c r="F5" s="99" t="s">
        <v>7</v>
      </c>
      <c r="G5" s="102" t="s">
        <v>8</v>
      </c>
      <c r="H5" s="99" t="s">
        <v>9</v>
      </c>
      <c r="I5" s="102" t="s">
        <v>10</v>
      </c>
      <c r="J5" s="102" t="s">
        <v>11</v>
      </c>
      <c r="K5" s="99" t="s">
        <v>12</v>
      </c>
      <c r="L5" s="99" t="s">
        <v>13</v>
      </c>
      <c r="M5" s="99" t="s">
        <v>14</v>
      </c>
      <c r="N5" s="52"/>
      <c r="O5" s="1"/>
      <c r="P5" s="1"/>
      <c r="Q5" s="1"/>
      <c r="R5" s="1"/>
    </row>
    <row r="6" spans="1:18" x14ac:dyDescent="0.25">
      <c r="A6" s="90" t="s">
        <v>15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52"/>
      <c r="O6" s="1"/>
      <c r="P6" s="1"/>
      <c r="Q6" s="1"/>
      <c r="R6" s="1"/>
    </row>
    <row r="7" spans="1:18" x14ac:dyDescent="0.25">
      <c r="A7" s="92" t="s">
        <v>16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52"/>
      <c r="O7" s="1"/>
      <c r="P7" s="1"/>
      <c r="Q7" s="1"/>
      <c r="R7" s="1"/>
    </row>
    <row r="8" spans="1:18" x14ac:dyDescent="0.25">
      <c r="A8" s="2" t="s">
        <v>17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52"/>
      <c r="O8" s="1"/>
      <c r="P8" s="1"/>
      <c r="Q8" s="1"/>
      <c r="R8" s="1"/>
    </row>
    <row r="9" spans="1:18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v>6000</v>
      </c>
      <c r="I11" s="7">
        <v>604</v>
      </c>
      <c r="J11" s="7">
        <v>642.33000000000004</v>
      </c>
      <c r="K11" s="7"/>
      <c r="L11" s="7">
        <v>1246.33</v>
      </c>
      <c r="M11" s="7">
        <v>4753.67</v>
      </c>
      <c r="N11" s="52"/>
      <c r="O11" s="1"/>
      <c r="P11" s="1"/>
      <c r="Q11" s="1"/>
      <c r="R11" s="1"/>
    </row>
    <row r="12" spans="1:18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x14ac:dyDescent="0.25">
      <c r="A14" s="6">
        <v>43606</v>
      </c>
      <c r="B14" s="11">
        <v>496.77</v>
      </c>
      <c r="C14" s="11"/>
      <c r="D14" s="11"/>
      <c r="E14" s="11"/>
      <c r="F14" s="11"/>
      <c r="G14" s="11"/>
      <c r="H14" s="7">
        <v>496.77</v>
      </c>
      <c r="I14" s="7"/>
      <c r="J14" s="7">
        <v>39.74</v>
      </c>
      <c r="K14" s="7"/>
      <c r="L14" s="7">
        <v>39.74</v>
      </c>
      <c r="M14" s="7">
        <v>457.03</v>
      </c>
      <c r="N14" s="52"/>
      <c r="O14" s="1"/>
      <c r="P14" s="1"/>
      <c r="Q14" s="1"/>
      <c r="R14" s="1"/>
    </row>
    <row r="15" spans="1:18" x14ac:dyDescent="0.25">
      <c r="A15" s="3" t="s">
        <v>22</v>
      </c>
      <c r="B15" s="12"/>
      <c r="C15" s="1"/>
      <c r="D15" s="1"/>
      <c r="E15" s="1"/>
      <c r="F15" s="13"/>
      <c r="G15" s="1"/>
      <c r="H15" s="1"/>
      <c r="I15" s="1"/>
      <c r="J15" s="1"/>
      <c r="K15" s="1"/>
      <c r="L15" s="1"/>
      <c r="M15" s="1"/>
      <c r="N15" s="52"/>
      <c r="O15" s="1"/>
      <c r="P15" s="1"/>
      <c r="Q15" s="1"/>
      <c r="R15" s="1"/>
    </row>
    <row r="16" spans="1:18" x14ac:dyDescent="0.25">
      <c r="A16" s="5" t="s">
        <v>23</v>
      </c>
      <c r="B16" s="12"/>
      <c r="C16" s="1"/>
      <c r="D16" s="1"/>
      <c r="E16" s="1"/>
      <c r="F16" s="13"/>
      <c r="G16" s="1"/>
      <c r="H16" s="1"/>
      <c r="I16" s="1"/>
      <c r="J16" s="1"/>
      <c r="K16" s="1"/>
      <c r="L16" s="1"/>
      <c r="M16" s="1"/>
      <c r="N16" s="52"/>
      <c r="O16" s="1"/>
      <c r="P16" s="1"/>
      <c r="Q16" s="1"/>
      <c r="R16" s="1"/>
    </row>
    <row r="17" spans="1:33" x14ac:dyDescent="0.25">
      <c r="A17" s="6">
        <v>43507</v>
      </c>
      <c r="B17" s="11">
        <v>2000</v>
      </c>
      <c r="C17" s="11"/>
      <c r="D17" s="11"/>
      <c r="E17" s="11"/>
      <c r="F17" s="11"/>
      <c r="G17" s="11"/>
      <c r="H17" s="7">
        <v>2000</v>
      </c>
      <c r="I17" s="7"/>
      <c r="J17" s="7">
        <v>180</v>
      </c>
      <c r="K17" s="7">
        <v>120</v>
      </c>
      <c r="L17" s="7">
        <v>300</v>
      </c>
      <c r="M17" s="7"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8" t="s">
        <v>24</v>
      </c>
      <c r="B18" s="12"/>
      <c r="C18" s="12"/>
      <c r="D18" s="12"/>
      <c r="E18" s="12"/>
      <c r="F18" s="12"/>
      <c r="G18" s="12"/>
      <c r="H18" s="9"/>
      <c r="I18" s="9"/>
      <c r="J18" s="9"/>
      <c r="K18" s="9"/>
      <c r="L18" s="9"/>
      <c r="M18" s="9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0" t="s">
        <v>21</v>
      </c>
      <c r="B19" s="12"/>
      <c r="C19" s="12"/>
      <c r="D19" s="12"/>
      <c r="E19" s="12"/>
      <c r="F19" s="12"/>
      <c r="G19" s="12"/>
      <c r="H19" s="9"/>
      <c r="I19" s="9"/>
      <c r="J19" s="9"/>
      <c r="K19" s="9"/>
      <c r="L19" s="9"/>
      <c r="M19" s="9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6">
        <v>43606</v>
      </c>
      <c r="B20" s="11">
        <v>496.77</v>
      </c>
      <c r="C20" s="11"/>
      <c r="D20" s="11"/>
      <c r="E20" s="11"/>
      <c r="F20" s="11"/>
      <c r="G20" s="11"/>
      <c r="H20" s="7">
        <v>496.77</v>
      </c>
      <c r="I20" s="7"/>
      <c r="J20" s="7">
        <v>39.74</v>
      </c>
      <c r="K20" s="7"/>
      <c r="L20" s="7">
        <v>39.74</v>
      </c>
      <c r="M20" s="7">
        <v>457.03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3" t="s">
        <v>25</v>
      </c>
      <c r="B21" s="12"/>
      <c r="C21" s="1"/>
      <c r="D21" s="1"/>
      <c r="E21" s="1"/>
      <c r="F21" s="13"/>
      <c r="G21" s="1"/>
      <c r="H21" s="1"/>
      <c r="I21" s="1"/>
      <c r="J21" s="1"/>
      <c r="K21" s="1"/>
      <c r="L21" s="1"/>
      <c r="M21" s="1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5" t="s">
        <v>26</v>
      </c>
      <c r="B22" s="12"/>
      <c r="C22" s="1"/>
      <c r="D22" s="1"/>
      <c r="E22" s="1"/>
      <c r="F22" s="13"/>
      <c r="G22" s="1"/>
      <c r="H22" s="1"/>
      <c r="I22" s="1"/>
      <c r="J22" s="1"/>
      <c r="K22" s="1"/>
      <c r="L22" s="1"/>
      <c r="M22" s="1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43507</v>
      </c>
      <c r="B23" s="11">
        <v>6000</v>
      </c>
      <c r="C23" s="11"/>
      <c r="D23" s="11"/>
      <c r="E23" s="11"/>
      <c r="F23" s="11"/>
      <c r="G23" s="11"/>
      <c r="H23" s="7">
        <v>6000</v>
      </c>
      <c r="I23" s="7">
        <v>604</v>
      </c>
      <c r="J23" s="7">
        <v>642.33000000000004</v>
      </c>
      <c r="K23" s="7"/>
      <c r="L23" s="7">
        <v>1246.33</v>
      </c>
      <c r="M23" s="7">
        <v>4753.67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27</v>
      </c>
      <c r="B24" s="12"/>
      <c r="C24" s="1"/>
      <c r="D24" s="1"/>
      <c r="E24" s="1"/>
      <c r="F24" s="13"/>
      <c r="G24" s="1"/>
      <c r="H24" s="1"/>
      <c r="I24" s="1"/>
      <c r="J24" s="1"/>
      <c r="K24" s="1"/>
      <c r="L24" s="1"/>
      <c r="M24" s="1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28</v>
      </c>
      <c r="B25" s="12"/>
      <c r="C25" s="1"/>
      <c r="D25" s="1"/>
      <c r="E25" s="1"/>
      <c r="F25" s="13"/>
      <c r="G25" s="1"/>
      <c r="H25" s="1"/>
      <c r="I25" s="1"/>
      <c r="J25" s="1"/>
      <c r="K25" s="1"/>
      <c r="L25" s="1"/>
      <c r="M25" s="1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v>6000</v>
      </c>
      <c r="I26" s="7">
        <v>499.72</v>
      </c>
      <c r="J26" s="7">
        <v>642.33000000000004</v>
      </c>
      <c r="K26" s="7"/>
      <c r="L26" s="7">
        <v>1142.0500000000002</v>
      </c>
      <c r="M26" s="7">
        <v>4857.95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29</v>
      </c>
      <c r="B27" s="12"/>
      <c r="C27" s="1"/>
      <c r="D27" s="1"/>
      <c r="E27" s="1"/>
      <c r="F27" s="13"/>
      <c r="G27" s="1"/>
      <c r="H27" s="1"/>
      <c r="I27" s="1"/>
      <c r="J27" s="1"/>
      <c r="K27" s="1"/>
      <c r="L27" s="1"/>
      <c r="M27" s="1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30</v>
      </c>
      <c r="B28" s="12"/>
      <c r="C28" s="1"/>
      <c r="D28" s="1"/>
      <c r="E28" s="1"/>
      <c r="F28" s="13"/>
      <c r="G28" s="1"/>
      <c r="H28" s="1"/>
      <c r="I28" s="1"/>
      <c r="J28" s="1"/>
      <c r="K28" s="1"/>
      <c r="L28" s="1"/>
      <c r="M28" s="1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v>6000</v>
      </c>
      <c r="I29" s="7">
        <v>700.79</v>
      </c>
      <c r="J29" s="7">
        <v>290.38</v>
      </c>
      <c r="K29" s="7"/>
      <c r="L29" s="7">
        <v>991.17</v>
      </c>
      <c r="M29" s="7">
        <v>5008.83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31</v>
      </c>
      <c r="B30" s="12"/>
      <c r="C30" s="1"/>
      <c r="D30" s="1"/>
      <c r="E30" s="1"/>
      <c r="F30" s="13"/>
      <c r="G30" s="1"/>
      <c r="H30" s="1"/>
      <c r="I30" s="1"/>
      <c r="J30" s="1"/>
      <c r="K30" s="1"/>
      <c r="L30" s="1"/>
      <c r="M30" s="1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32</v>
      </c>
      <c r="B31" s="12"/>
      <c r="C31" s="1"/>
      <c r="D31" s="1"/>
      <c r="E31" s="1"/>
      <c r="F31" s="13"/>
      <c r="G31" s="1"/>
      <c r="H31" s="1"/>
      <c r="I31" s="1"/>
      <c r="J31" s="1"/>
      <c r="K31" s="1"/>
      <c r="L31" s="1"/>
      <c r="M31" s="1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94">
        <v>43507</v>
      </c>
      <c r="B32" s="95">
        <v>7000</v>
      </c>
      <c r="C32" s="95"/>
      <c r="D32" s="95"/>
      <c r="E32" s="95"/>
      <c r="F32" s="95"/>
      <c r="G32" s="95"/>
      <c r="H32" s="7">
        <v>7000</v>
      </c>
      <c r="I32" s="7">
        <v>774.72</v>
      </c>
      <c r="J32" s="7">
        <v>642.33000000000004</v>
      </c>
      <c r="K32" s="7"/>
      <c r="L32" s="7">
        <v>1417.0500000000002</v>
      </c>
      <c r="M32" s="7">
        <v>5582.95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4" t="s">
        <v>2</v>
      </c>
      <c r="B33" s="102" t="s">
        <v>3</v>
      </c>
      <c r="C33" s="102" t="s">
        <v>4</v>
      </c>
      <c r="D33" s="99" t="s">
        <v>5</v>
      </c>
      <c r="E33" s="99" t="s">
        <v>6</v>
      </c>
      <c r="F33" s="99" t="s">
        <v>7</v>
      </c>
      <c r="G33" s="102" t="s">
        <v>8</v>
      </c>
      <c r="H33" s="99" t="s">
        <v>9</v>
      </c>
      <c r="I33" s="102" t="s">
        <v>10</v>
      </c>
      <c r="J33" s="102" t="s">
        <v>11</v>
      </c>
      <c r="K33" s="99" t="s">
        <v>12</v>
      </c>
      <c r="L33" s="99" t="s">
        <v>13</v>
      </c>
      <c r="M33" s="99" t="s">
        <v>14</v>
      </c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90" t="s">
        <v>15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93" t="s">
        <v>16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5" t="s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17" t="s">
        <v>34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5" t="s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6">
        <v>43525</v>
      </c>
      <c r="B39" s="19">
        <v>6000</v>
      </c>
      <c r="C39" s="19"/>
      <c r="D39" s="19"/>
      <c r="E39" s="19"/>
      <c r="F39" s="19"/>
      <c r="G39" s="19"/>
      <c r="H39" s="7">
        <v>6000</v>
      </c>
      <c r="I39" s="7">
        <v>551.86</v>
      </c>
      <c r="J39" s="7">
        <v>642.33000000000004</v>
      </c>
      <c r="K39" s="7"/>
      <c r="L39" s="7">
        <v>1194.19</v>
      </c>
      <c r="M39" s="20">
        <v>4805.8099999999995</v>
      </c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3" t="s">
        <v>36</v>
      </c>
      <c r="B40" s="12"/>
      <c r="C40" s="1"/>
      <c r="D40" s="1"/>
      <c r="E40" s="1"/>
      <c r="F40" s="13"/>
      <c r="G40" s="1"/>
      <c r="H40" s="1"/>
      <c r="I40" s="1"/>
      <c r="J40" s="1"/>
      <c r="K40" s="1"/>
      <c r="L40" s="1"/>
      <c r="M40" s="21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23</v>
      </c>
      <c r="B41" s="12"/>
      <c r="C41" s="1"/>
      <c r="D41" s="1"/>
      <c r="E41" s="1"/>
      <c r="F41" s="13"/>
      <c r="G41" s="1"/>
      <c r="H41" s="1"/>
      <c r="I41" s="1"/>
      <c r="J41" s="1"/>
      <c r="K41" s="1"/>
      <c r="L41" s="1"/>
      <c r="M41" s="21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43507</v>
      </c>
      <c r="B42" s="11">
        <v>2000</v>
      </c>
      <c r="C42" s="11"/>
      <c r="D42" s="11"/>
      <c r="E42" s="11"/>
      <c r="F42" s="11"/>
      <c r="G42" s="11"/>
      <c r="H42" s="7">
        <v>2000</v>
      </c>
      <c r="I42" s="7"/>
      <c r="J42" s="7">
        <v>180</v>
      </c>
      <c r="K42" s="7">
        <v>120</v>
      </c>
      <c r="L42" s="7">
        <v>300</v>
      </c>
      <c r="M42" s="20">
        <v>1700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37</v>
      </c>
      <c r="B43" s="12"/>
      <c r="C43" s="1"/>
      <c r="D43" s="1"/>
      <c r="E43" s="1"/>
      <c r="F43" s="13"/>
      <c r="G43" s="1"/>
      <c r="H43" s="1"/>
      <c r="I43" s="1"/>
      <c r="J43" s="1"/>
      <c r="K43" s="1"/>
      <c r="L43" s="1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38</v>
      </c>
      <c r="B44" s="12"/>
      <c r="C44" s="1"/>
      <c r="D44" s="1"/>
      <c r="E44" s="1"/>
      <c r="F44" s="13"/>
      <c r="G44" s="1"/>
      <c r="H44" s="1"/>
      <c r="I44" s="1"/>
      <c r="J44" s="1"/>
      <c r="K44" s="1"/>
      <c r="L44" s="1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1400</v>
      </c>
      <c r="C45" s="11"/>
      <c r="D45" s="11"/>
      <c r="E45" s="11"/>
      <c r="F45" s="11"/>
      <c r="G45" s="11"/>
      <c r="H45" s="7">
        <v>1400</v>
      </c>
      <c r="I45" s="7"/>
      <c r="J45" s="7">
        <v>112</v>
      </c>
      <c r="K45" s="7">
        <v>84</v>
      </c>
      <c r="L45" s="7">
        <v>196</v>
      </c>
      <c r="M45" s="20">
        <v>1204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39</v>
      </c>
      <c r="B46" s="12"/>
      <c r="C46" s="1"/>
      <c r="D46" s="1"/>
      <c r="E46" s="1"/>
      <c r="F46" s="13"/>
      <c r="G46" s="1"/>
      <c r="H46" s="1"/>
      <c r="I46" s="1"/>
      <c r="J46" s="1"/>
      <c r="K46" s="1"/>
      <c r="L46" s="1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40</v>
      </c>
      <c r="B47" s="12"/>
      <c r="C47" s="1"/>
      <c r="D47" s="1"/>
      <c r="E47" s="1"/>
      <c r="F47" s="13"/>
      <c r="G47" s="1"/>
      <c r="H47" s="1"/>
      <c r="I47" s="1"/>
      <c r="J47" s="1"/>
      <c r="K47" s="1"/>
      <c r="L47" s="1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3800</v>
      </c>
      <c r="C48" s="11"/>
      <c r="D48" s="11"/>
      <c r="E48" s="11"/>
      <c r="F48" s="11"/>
      <c r="G48" s="11"/>
      <c r="H48" s="7">
        <v>3800</v>
      </c>
      <c r="I48" s="7">
        <v>95.62</v>
      </c>
      <c r="J48" s="7">
        <v>418</v>
      </c>
      <c r="K48" s="7"/>
      <c r="L48" s="7">
        <v>513.62</v>
      </c>
      <c r="M48" s="20">
        <v>3286.38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8" t="s">
        <v>41</v>
      </c>
      <c r="B49" s="12"/>
      <c r="C49" s="12"/>
      <c r="D49" s="12"/>
      <c r="E49" s="12"/>
      <c r="F49" s="12"/>
      <c r="G49" s="12"/>
      <c r="H49" s="9"/>
      <c r="I49" s="9"/>
      <c r="J49" s="9"/>
      <c r="K49" s="9"/>
      <c r="L49" s="9"/>
      <c r="M49" s="22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0" t="s">
        <v>38</v>
      </c>
      <c r="B50" s="12"/>
      <c r="C50" s="12"/>
      <c r="D50" s="12"/>
      <c r="E50" s="12"/>
      <c r="F50" s="12"/>
      <c r="G50" s="12"/>
      <c r="H50" s="9"/>
      <c r="I50" s="9"/>
      <c r="J50" s="9"/>
      <c r="K50" s="9"/>
      <c r="L50" s="9"/>
      <c r="M50" s="22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0">
        <v>43557</v>
      </c>
      <c r="B51" s="12">
        <v>1400</v>
      </c>
      <c r="C51" s="12"/>
      <c r="D51" s="12"/>
      <c r="E51" s="12"/>
      <c r="F51" s="12"/>
      <c r="G51" s="12"/>
      <c r="H51" s="23">
        <v>1400</v>
      </c>
      <c r="I51" s="9"/>
      <c r="J51" s="9">
        <v>112</v>
      </c>
      <c r="K51" s="9">
        <v>84</v>
      </c>
      <c r="L51" s="9">
        <v>196</v>
      </c>
      <c r="M51" s="24">
        <v>1204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25" t="s">
        <v>42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3" t="s">
        <v>43</v>
      </c>
      <c r="B53" s="12"/>
      <c r="C53" s="1"/>
      <c r="D53" s="1"/>
      <c r="E53" s="1"/>
      <c r="F53" s="13"/>
      <c r="G53" s="1"/>
      <c r="H53" s="1"/>
      <c r="I53" s="1"/>
      <c r="J53" s="1"/>
      <c r="K53" s="1"/>
      <c r="L53" s="1"/>
      <c r="M53" s="21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5" t="s">
        <v>44</v>
      </c>
      <c r="B54" s="12"/>
      <c r="C54" s="1"/>
      <c r="D54" s="1"/>
      <c r="E54" s="1"/>
      <c r="F54" s="13"/>
      <c r="G54" s="1"/>
      <c r="H54" s="1"/>
      <c r="I54" s="1"/>
      <c r="J54" s="1"/>
      <c r="K54" s="1"/>
      <c r="L54" s="1"/>
      <c r="M54" s="21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6">
        <v>43535</v>
      </c>
      <c r="B55" s="11">
        <v>3000</v>
      </c>
      <c r="C55" s="11"/>
      <c r="D55" s="11"/>
      <c r="E55" s="11"/>
      <c r="F55" s="11"/>
      <c r="G55" s="11"/>
      <c r="H55" s="7">
        <v>3000</v>
      </c>
      <c r="I55" s="7">
        <v>29.01</v>
      </c>
      <c r="J55" s="7">
        <v>330</v>
      </c>
      <c r="K55" s="7"/>
      <c r="L55" s="7">
        <v>359.01</v>
      </c>
      <c r="M55" s="20">
        <v>2640.99</v>
      </c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28" t="s">
        <v>45</v>
      </c>
      <c r="B56" s="26"/>
      <c r="C56" s="29"/>
      <c r="D56" s="29"/>
      <c r="E56" s="29"/>
      <c r="F56" s="30"/>
      <c r="G56" s="29"/>
      <c r="H56" s="29"/>
      <c r="I56" s="29"/>
      <c r="J56" s="29"/>
      <c r="K56" s="29"/>
      <c r="L56" s="29"/>
      <c r="M56" s="3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46</v>
      </c>
      <c r="B57" s="12"/>
      <c r="C57" s="1"/>
      <c r="D57" s="1"/>
      <c r="E57" s="1"/>
      <c r="F57" s="13"/>
      <c r="G57" s="1"/>
      <c r="H57" s="1"/>
      <c r="I57" s="1"/>
      <c r="J57" s="1"/>
      <c r="K57" s="1"/>
      <c r="L57" s="1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44</v>
      </c>
      <c r="B58" s="12"/>
      <c r="C58" s="1"/>
      <c r="D58" s="1"/>
      <c r="E58" s="1"/>
      <c r="F58" s="13"/>
      <c r="G58" s="1"/>
      <c r="H58" s="1"/>
      <c r="I58" s="1"/>
      <c r="J58" s="1"/>
      <c r="K58" s="1"/>
      <c r="L58" s="1"/>
      <c r="M58" s="21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43535</v>
      </c>
      <c r="B59" s="11">
        <v>3000</v>
      </c>
      <c r="C59" s="11"/>
      <c r="D59" s="11"/>
      <c r="E59" s="11"/>
      <c r="F59" s="11"/>
      <c r="G59" s="11"/>
      <c r="H59" s="7">
        <v>3000</v>
      </c>
      <c r="I59" s="7">
        <v>43.23</v>
      </c>
      <c r="J59" s="7">
        <v>330</v>
      </c>
      <c r="K59" s="7"/>
      <c r="L59" s="7">
        <v>373.23</v>
      </c>
      <c r="M59" s="20">
        <v>2626.77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8" t="s">
        <v>47</v>
      </c>
      <c r="B60" s="12"/>
      <c r="C60" s="12"/>
      <c r="D60" s="12"/>
      <c r="E60" s="12"/>
      <c r="F60" s="12"/>
      <c r="G60" s="12"/>
      <c r="H60" s="9"/>
      <c r="I60" s="9"/>
      <c r="J60" s="9"/>
      <c r="K60" s="9"/>
      <c r="L60" s="9"/>
      <c r="M60" s="9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0" t="s">
        <v>23</v>
      </c>
      <c r="B61" s="12"/>
      <c r="C61" s="12"/>
      <c r="D61" s="12"/>
      <c r="E61" s="12"/>
      <c r="F61" s="12"/>
      <c r="G61" s="12"/>
      <c r="H61" s="9"/>
      <c r="I61" s="9"/>
      <c r="J61" s="9"/>
      <c r="K61" s="9"/>
      <c r="L61" s="9"/>
      <c r="M61" s="9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0">
        <v>43567</v>
      </c>
      <c r="B62" s="12">
        <v>2000</v>
      </c>
      <c r="C62" s="12"/>
      <c r="D62" s="12"/>
      <c r="E62" s="12"/>
      <c r="F62" s="12"/>
      <c r="G62" s="12"/>
      <c r="H62" s="23">
        <v>2000</v>
      </c>
      <c r="I62" s="9"/>
      <c r="J62" s="9">
        <v>180</v>
      </c>
      <c r="K62" s="9"/>
      <c r="L62" s="9">
        <v>180</v>
      </c>
      <c r="M62" s="24">
        <v>1820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28" t="s">
        <v>48</v>
      </c>
      <c r="B63" s="26"/>
      <c r="C63" s="29"/>
      <c r="D63" s="29"/>
      <c r="E63" s="29"/>
      <c r="F63" s="30"/>
      <c r="G63" s="29"/>
      <c r="H63" s="29"/>
      <c r="I63" s="29"/>
      <c r="J63" s="29"/>
      <c r="K63" s="29"/>
      <c r="L63" s="29"/>
      <c r="M63" s="2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49</v>
      </c>
      <c r="B64" s="12"/>
      <c r="C64" s="1"/>
      <c r="D64" s="1"/>
      <c r="E64" s="1"/>
      <c r="F64" s="1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23</v>
      </c>
      <c r="B65" s="12"/>
      <c r="C65" s="1"/>
      <c r="D65" s="1"/>
      <c r="E65" s="1"/>
      <c r="F65" s="1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11">
        <v>2000</v>
      </c>
      <c r="C66" s="11"/>
      <c r="D66" s="11"/>
      <c r="E66" s="11"/>
      <c r="F66" s="11"/>
      <c r="G66" s="11"/>
      <c r="H66" s="7">
        <v>2000</v>
      </c>
      <c r="I66" s="7"/>
      <c r="J66" s="7">
        <v>180</v>
      </c>
      <c r="K66" s="7"/>
      <c r="L66" s="7">
        <v>180</v>
      </c>
      <c r="M66" s="20">
        <v>1820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50</v>
      </c>
      <c r="B67" s="26"/>
      <c r="C67" s="29"/>
      <c r="D67" s="29"/>
      <c r="E67" s="29"/>
      <c r="F67" s="30"/>
      <c r="G67" s="29"/>
      <c r="H67" s="29"/>
      <c r="I67" s="29"/>
      <c r="J67" s="29"/>
      <c r="K67" s="29"/>
      <c r="L67" s="29"/>
      <c r="M67" s="2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51</v>
      </c>
      <c r="B68" s="12"/>
      <c r="C68" s="1"/>
      <c r="D68" s="1"/>
      <c r="E68" s="1"/>
      <c r="F68" s="1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52</v>
      </c>
      <c r="B69" s="12"/>
      <c r="C69" s="1"/>
      <c r="D69" s="1"/>
      <c r="E69" s="1"/>
      <c r="F69" s="1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43556</v>
      </c>
      <c r="B70" s="11">
        <v>4000</v>
      </c>
      <c r="C70" s="11"/>
      <c r="D70" s="11"/>
      <c r="E70" s="11"/>
      <c r="F70" s="11"/>
      <c r="G70" s="11"/>
      <c r="H70" s="7">
        <v>4000</v>
      </c>
      <c r="I70" s="7">
        <v>122.32</v>
      </c>
      <c r="J70" s="7">
        <v>440</v>
      </c>
      <c r="K70" s="7"/>
      <c r="L70" s="7">
        <v>562.31999999999994</v>
      </c>
      <c r="M70" s="20">
        <v>3437.6800000000003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03" t="s">
        <v>53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4" t="s">
        <v>2</v>
      </c>
      <c r="B74" s="102" t="s">
        <v>3</v>
      </c>
      <c r="C74" s="102" t="s">
        <v>4</v>
      </c>
      <c r="D74" s="99" t="s">
        <v>5</v>
      </c>
      <c r="E74" s="99" t="s">
        <v>54</v>
      </c>
      <c r="F74" s="99" t="s">
        <v>7</v>
      </c>
      <c r="G74" s="102" t="s">
        <v>55</v>
      </c>
      <c r="H74" s="99" t="s">
        <v>9</v>
      </c>
      <c r="I74" s="102" t="s">
        <v>10</v>
      </c>
      <c r="J74" s="102" t="s">
        <v>11</v>
      </c>
      <c r="K74" s="99" t="s">
        <v>12</v>
      </c>
      <c r="L74" s="99" t="s">
        <v>13</v>
      </c>
      <c r="M74" s="99" t="s">
        <v>14</v>
      </c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90" t="s">
        <v>15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93" t="s">
        <v>16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56</v>
      </c>
      <c r="B77" s="12"/>
      <c r="C77" s="1"/>
      <c r="D77" s="1"/>
      <c r="E77" s="1"/>
      <c r="F77" s="1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38</v>
      </c>
      <c r="B78" s="12"/>
      <c r="C78" s="1"/>
      <c r="D78" s="1"/>
      <c r="E78" s="1"/>
      <c r="F78" s="13"/>
      <c r="G78" s="1"/>
      <c r="H78" s="1"/>
      <c r="I78" s="1"/>
      <c r="J78" s="1"/>
      <c r="K78" s="1"/>
      <c r="L78" s="1"/>
      <c r="M78" s="1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11">
        <v>466.67</v>
      </c>
      <c r="C79" s="11">
        <v>311.11</v>
      </c>
      <c r="D79" s="11"/>
      <c r="E79" s="11">
        <v>233.33</v>
      </c>
      <c r="F79" s="11">
        <v>84</v>
      </c>
      <c r="G79" s="11">
        <v>1400</v>
      </c>
      <c r="H79" s="7">
        <v>2495.11</v>
      </c>
      <c r="I79" s="7"/>
      <c r="J79" s="7">
        <v>55.989999999999995</v>
      </c>
      <c r="K79" s="7">
        <v>477.28</v>
      </c>
      <c r="L79" s="7">
        <v>533.27</v>
      </c>
      <c r="M79" s="7">
        <v>1961.8400000000001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B8:M8"/>
    <mergeCell ref="H5:H7"/>
    <mergeCell ref="I5:I7"/>
    <mergeCell ref="B33:B35"/>
    <mergeCell ref="C33:C35"/>
    <mergeCell ref="D33:D35"/>
    <mergeCell ref="E33:E35"/>
    <mergeCell ref="F33:F35"/>
    <mergeCell ref="I33:I35"/>
    <mergeCell ref="G33:G35"/>
    <mergeCell ref="H33:H35"/>
    <mergeCell ref="J33:J35"/>
    <mergeCell ref="K33:K35"/>
    <mergeCell ref="L33:L35"/>
    <mergeCell ref="M33:M35"/>
    <mergeCell ref="J5:J7"/>
    <mergeCell ref="A71:N72"/>
    <mergeCell ref="H74:H76"/>
    <mergeCell ref="I74:I76"/>
    <mergeCell ref="J74:J76"/>
    <mergeCell ref="K74:K76"/>
    <mergeCell ref="L74:L76"/>
    <mergeCell ref="M74:M76"/>
    <mergeCell ref="A73:M73"/>
    <mergeCell ref="B74:B76"/>
    <mergeCell ref="C74:C76"/>
    <mergeCell ref="D74:D76"/>
    <mergeCell ref="E74:E76"/>
    <mergeCell ref="F74:F76"/>
    <mergeCell ref="G74:G76"/>
  </mergeCells>
  <pageMargins left="0.511811024" right="0.511811024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030"/>
  <sheetViews>
    <sheetView zoomScaleNormal="100" workbookViewId="0">
      <selection sqref="A1:L1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109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102" t="s">
        <v>3</v>
      </c>
      <c r="C3" s="102" t="s">
        <v>92</v>
      </c>
      <c r="D3" s="99" t="s">
        <v>93</v>
      </c>
      <c r="E3" s="112" t="s">
        <v>8</v>
      </c>
      <c r="F3" s="115" t="s">
        <v>94</v>
      </c>
      <c r="G3" s="115" t="s">
        <v>9</v>
      </c>
      <c r="H3" s="102" t="s">
        <v>11</v>
      </c>
      <c r="I3" s="102" t="s">
        <v>95</v>
      </c>
      <c r="J3" s="99" t="s">
        <v>12</v>
      </c>
      <c r="K3" s="99" t="s">
        <v>13</v>
      </c>
      <c r="L3" s="9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100"/>
      <c r="C4" s="100"/>
      <c r="D4" s="100"/>
      <c r="E4" s="113"/>
      <c r="F4" s="100"/>
      <c r="G4" s="100"/>
      <c r="H4" s="100"/>
      <c r="I4" s="100"/>
      <c r="J4" s="100"/>
      <c r="K4" s="100"/>
      <c r="L4" s="10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108"/>
      <c r="C5" s="108"/>
      <c r="D5" s="108"/>
      <c r="E5" s="114"/>
      <c r="F5" s="108"/>
      <c r="G5" s="108"/>
      <c r="H5" s="108"/>
      <c r="I5" s="108"/>
      <c r="J5" s="108"/>
      <c r="K5" s="108"/>
      <c r="L5" s="10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62.15+2.47+353.67</f>
        <v>418.29</v>
      </c>
      <c r="K12" s="56">
        <f>H12+I12+J12</f>
        <v>1049.05</v>
      </c>
      <c r="L12" s="56">
        <f>G12-K12</f>
        <v>3130.4299999999994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62.15+2.47+280.68</f>
        <v>345.3</v>
      </c>
      <c r="K18" s="56">
        <f>H18+I18+J18</f>
        <v>786.6</v>
      </c>
      <c r="L18" s="56">
        <f>G18-K18</f>
        <v>2792.34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62.15+1.04+350.43+26.71</f>
        <v>440.33</v>
      </c>
      <c r="K21" s="56">
        <f>SUM(H21:J21)</f>
        <v>583.92999999999995</v>
      </c>
      <c r="L21" s="56">
        <f>G21-K21</f>
        <v>1213.6500000000001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185.77</v>
      </c>
      <c r="J24" s="56">
        <f>62.15+2.47</f>
        <v>64.62</v>
      </c>
      <c r="K24" s="56">
        <f>SUM(H24:J24)</f>
        <v>646.56000000000006</v>
      </c>
      <c r="L24" s="56">
        <f>G24-K24</f>
        <v>3353.44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3191.22</v>
      </c>
      <c r="C27" s="56">
        <f>638.24+212.75</f>
        <v>850.99</v>
      </c>
      <c r="D27" s="56"/>
      <c r="E27" s="69">
        <v>268.06</v>
      </c>
      <c r="F27" s="87"/>
      <c r="G27" s="69">
        <f>SUM(B27:F27)</f>
        <v>4310.2700000000004</v>
      </c>
      <c r="H27" s="56">
        <f>63.82+375.79</f>
        <v>439.61</v>
      </c>
      <c r="I27" s="59">
        <v>107.72</v>
      </c>
      <c r="J27" s="56">
        <f>62.15+1.82+407.74+53.42</f>
        <v>525.13</v>
      </c>
      <c r="K27" s="56">
        <f>SUM(H27:J27)</f>
        <v>1072.46</v>
      </c>
      <c r="L27" s="56">
        <f>G27-K27</f>
        <v>3237.8100000000004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62.15+2.47+120.51</f>
        <v>185.13</v>
      </c>
      <c r="K33" s="56">
        <f>SUM(H33:J33)</f>
        <v>654.87</v>
      </c>
      <c r="L33" s="56">
        <f>G33-K33</f>
        <v>2924.07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19.23+62.15+2.47+100.85</f>
        <v>184.7</v>
      </c>
      <c r="K39" s="56">
        <f>H39+I39+J39</f>
        <v>476.46999999999997</v>
      </c>
      <c r="L39" s="56">
        <f>G39-K39</f>
        <v>2312.4700000000003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1538.73</v>
      </c>
      <c r="C42" s="56"/>
      <c r="D42" s="56"/>
      <c r="E42" s="69"/>
      <c r="F42" s="74"/>
      <c r="G42" s="69">
        <f>SUM(B42:F42)</f>
        <v>1538.73</v>
      </c>
      <c r="H42" s="56">
        <v>128</v>
      </c>
      <c r="I42" s="56"/>
      <c r="J42" s="56">
        <f>19.23+62.15+1.04+617.66</f>
        <v>700.07999999999993</v>
      </c>
      <c r="K42" s="56">
        <f>H42+I42+J42</f>
        <v>828.07999999999993</v>
      </c>
      <c r="L42" s="56">
        <f>G42-K42</f>
        <v>710.65000000000009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66.45+2.86+133.55</f>
        <v>202.86</v>
      </c>
      <c r="K45" s="56">
        <f>H45+I45+J45</f>
        <v>346.46000000000004</v>
      </c>
      <c r="L45" s="56">
        <f>G45-K45</f>
        <v>1451.12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62.15+2.47+126.81</f>
        <v>191.43</v>
      </c>
      <c r="K49" s="56">
        <f>H49+I49+J49</f>
        <v>843.44</v>
      </c>
      <c r="L49" s="56">
        <f>G49-K49</f>
        <v>3399.7500000000005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143.6</v>
      </c>
      <c r="I52" s="56"/>
      <c r="J52" s="56">
        <f>62.15+2.47</f>
        <v>64.62</v>
      </c>
      <c r="K52" s="56">
        <f>H52+I52+J52</f>
        <v>208.22</v>
      </c>
      <c r="L52" s="56">
        <f>G52-K52</f>
        <v>1589.36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1602.84</v>
      </c>
      <c r="C55" s="55">
        <f>320.57+106.86</f>
        <v>427.43</v>
      </c>
      <c r="D55" s="55"/>
      <c r="E55" s="67"/>
      <c r="F55" s="67"/>
      <c r="G55" s="69">
        <f>SUM(B55:F55)</f>
        <v>2030.27</v>
      </c>
      <c r="H55" s="56">
        <f>32.05+132.49</f>
        <v>164.54000000000002</v>
      </c>
      <c r="I55" s="56"/>
      <c r="J55" s="56">
        <f>19.23+62.15+1.56+414.88</f>
        <v>497.82</v>
      </c>
      <c r="K55" s="56">
        <f>H55+I55+J55</f>
        <v>662.36</v>
      </c>
      <c r="L55" s="56">
        <f>G55-K55</f>
        <v>1367.9099999999999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09" t="s">
        <v>90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154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102" t="s">
        <v>3</v>
      </c>
      <c r="C66" s="102" t="s">
        <v>92</v>
      </c>
      <c r="D66" s="99" t="s">
        <v>93</v>
      </c>
      <c r="E66" s="112" t="s">
        <v>8</v>
      </c>
      <c r="F66" s="115" t="s">
        <v>94</v>
      </c>
      <c r="G66" s="115" t="s">
        <v>9</v>
      </c>
      <c r="H66" s="102" t="s">
        <v>11</v>
      </c>
      <c r="I66" s="102" t="s">
        <v>95</v>
      </c>
      <c r="J66" s="99" t="s">
        <v>12</v>
      </c>
      <c r="K66" s="99" t="s">
        <v>13</v>
      </c>
      <c r="L66" s="99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100"/>
      <c r="C67" s="100"/>
      <c r="D67" s="100"/>
      <c r="E67" s="113"/>
      <c r="F67" s="100"/>
      <c r="G67" s="100"/>
      <c r="H67" s="100"/>
      <c r="I67" s="100"/>
      <c r="J67" s="100"/>
      <c r="K67" s="100"/>
      <c r="L67" s="100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108"/>
      <c r="C68" s="108"/>
      <c r="D68" s="108"/>
      <c r="E68" s="114"/>
      <c r="F68" s="108"/>
      <c r="G68" s="108"/>
      <c r="H68" s="108"/>
      <c r="I68" s="108"/>
      <c r="J68" s="108"/>
      <c r="K68" s="108"/>
      <c r="L68" s="10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1924.35</v>
      </c>
      <c r="C72" s="55">
        <f>1414.39+471.46</f>
        <v>1885.8500000000001</v>
      </c>
      <c r="D72" s="55">
        <v>38.49</v>
      </c>
      <c r="E72" s="67">
        <v>865.95</v>
      </c>
      <c r="F72" s="67"/>
      <c r="G72" s="69">
        <f>SUM(B72:F72)</f>
        <v>4714.6399999999994</v>
      </c>
      <c r="H72" s="56">
        <f>151.54+344.68</f>
        <v>496.22</v>
      </c>
      <c r="I72" s="56">
        <v>43.51</v>
      </c>
      <c r="J72" s="56">
        <f>62.15+1.43+747.16+80.13</f>
        <v>890.87</v>
      </c>
      <c r="K72" s="56">
        <f>H72+I72+J72</f>
        <v>1430.6</v>
      </c>
      <c r="L72" s="56">
        <f>G72-K72</f>
        <v>3284.0399999999995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1602.84</v>
      </c>
      <c r="C75" s="55">
        <f>467.28+155.76</f>
        <v>623.04</v>
      </c>
      <c r="D75" s="55"/>
      <c r="E75" s="67">
        <v>721.28</v>
      </c>
      <c r="F75" s="67"/>
      <c r="G75" s="69">
        <f>SUM(B75:F75)</f>
        <v>2947.16</v>
      </c>
      <c r="H75" s="56">
        <f>46.72+215.93</f>
        <v>262.64999999999998</v>
      </c>
      <c r="I75" s="56">
        <v>15.31</v>
      </c>
      <c r="J75" s="56">
        <f>62.15+1.95+66.85+26.71</f>
        <v>157.66</v>
      </c>
      <c r="K75" s="56">
        <f>H75+I75+J75</f>
        <v>435.62</v>
      </c>
      <c r="L75" s="56">
        <f>G75-K75</f>
        <v>2511.54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8" t="s">
        <v>128</v>
      </c>
      <c r="B76" s="57"/>
      <c r="C76" s="57"/>
      <c r="D76" s="57"/>
      <c r="E76" s="70"/>
      <c r="F76" s="70"/>
      <c r="G76" s="66"/>
      <c r="H76" s="54"/>
      <c r="I76" s="54"/>
      <c r="J76" s="54"/>
      <c r="K76" s="54"/>
      <c r="L76" s="54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0" t="s">
        <v>116</v>
      </c>
      <c r="B77" s="57"/>
      <c r="C77" s="57"/>
      <c r="D77" s="57"/>
      <c r="E77" s="70"/>
      <c r="F77" s="70"/>
      <c r="G77" s="66"/>
      <c r="H77" s="54"/>
      <c r="I77" s="54"/>
      <c r="J77" s="54"/>
      <c r="K77" s="54"/>
      <c r="L77" s="54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6">
        <v>43325</v>
      </c>
      <c r="B78" s="55">
        <v>1923.41</v>
      </c>
      <c r="C78" s="55"/>
      <c r="D78" s="55"/>
      <c r="E78" s="67">
        <v>865.53</v>
      </c>
      <c r="F78" s="68"/>
      <c r="G78" s="69">
        <f>SUM(B78:F78)</f>
        <v>2788.94</v>
      </c>
      <c r="H78" s="56">
        <v>243.67</v>
      </c>
      <c r="I78" s="56">
        <v>48.1</v>
      </c>
      <c r="J78" s="56">
        <f>19.23+62.15+2.47+312.02</f>
        <v>395.87</v>
      </c>
      <c r="K78" s="56">
        <f>H78+I78+J78</f>
        <v>687.64</v>
      </c>
      <c r="L78" s="56">
        <f>G78-K78</f>
        <v>2101.3000000000002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28" t="s">
        <v>129</v>
      </c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3" t="s">
        <v>130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131</v>
      </c>
      <c r="B81" s="57"/>
      <c r="C81" s="60"/>
      <c r="D81" s="60"/>
      <c r="E81" s="76"/>
      <c r="F81" s="77"/>
      <c r="G81" s="78"/>
      <c r="H81" s="61"/>
      <c r="I81" s="61"/>
      <c r="J81" s="61"/>
      <c r="K81" s="61"/>
      <c r="L81" s="61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Bot="1" x14ac:dyDescent="0.3">
      <c r="A82" s="50">
        <v>44509</v>
      </c>
      <c r="B82" s="55">
        <v>2767.74</v>
      </c>
      <c r="C82" s="55"/>
      <c r="D82" s="55"/>
      <c r="E82" s="67"/>
      <c r="F82" s="67"/>
      <c r="G82" s="69">
        <f>SUM(B82:F82)</f>
        <v>2767.74</v>
      </c>
      <c r="H82" s="56">
        <v>228.62</v>
      </c>
      <c r="I82" s="56">
        <v>39.82</v>
      </c>
      <c r="J82" s="56">
        <f>26.64+62.15+2.47</f>
        <v>91.259999999999991</v>
      </c>
      <c r="K82" s="56">
        <f>H82+I82+J82</f>
        <v>359.7</v>
      </c>
      <c r="L82" s="56">
        <f>G82-K82</f>
        <v>2408.04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8" t="s">
        <v>132</v>
      </c>
      <c r="B83" s="12"/>
      <c r="C83" s="12"/>
      <c r="D83" s="12"/>
      <c r="E83" s="12"/>
      <c r="F83" s="12"/>
      <c r="G83" s="23"/>
      <c r="H83" s="23"/>
      <c r="I83" s="23"/>
      <c r="J83" s="23"/>
      <c r="K83" s="23"/>
      <c r="L83" s="23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133</v>
      </c>
      <c r="B84" s="57"/>
      <c r="C84" s="57"/>
      <c r="D84" s="57"/>
      <c r="E84" s="70"/>
      <c r="F84" s="70"/>
      <c r="G84" s="66"/>
      <c r="H84" s="54"/>
      <c r="I84" s="54"/>
      <c r="J84" s="54"/>
      <c r="K84" s="54"/>
      <c r="L84" s="54"/>
      <c r="M84" s="52"/>
      <c r="N84" s="1"/>
      <c r="O84" s="1"/>
      <c r="P84" s="3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Bot="1" x14ac:dyDescent="0.3">
      <c r="A85" s="6">
        <v>43325</v>
      </c>
      <c r="B85" s="55">
        <v>2849.96</v>
      </c>
      <c r="C85" s="55"/>
      <c r="D85" s="55"/>
      <c r="E85" s="67">
        <f>B85*45%</f>
        <v>1282.482</v>
      </c>
      <c r="F85" s="68"/>
      <c r="G85" s="69">
        <f>SUM(B85:F85)</f>
        <v>4132.442</v>
      </c>
      <c r="H85" s="56">
        <v>414.71</v>
      </c>
      <c r="I85" s="56">
        <v>145.97999999999999</v>
      </c>
      <c r="J85" s="56">
        <f>28.5+62.15+2.47+26.71</f>
        <v>119.83000000000001</v>
      </c>
      <c r="K85" s="56">
        <f>H85+I85+J85</f>
        <v>680.52</v>
      </c>
      <c r="L85" s="56">
        <f>G85-K85</f>
        <v>3451.922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28" t="s">
        <v>134</v>
      </c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8" t="s">
        <v>135</v>
      </c>
      <c r="B87" s="12"/>
      <c r="C87" s="12"/>
      <c r="D87" s="12"/>
      <c r="E87" s="12"/>
      <c r="F87" s="12"/>
      <c r="G87" s="23"/>
      <c r="H87" s="23"/>
      <c r="I87" s="23"/>
      <c r="J87" s="23"/>
      <c r="K87" s="23"/>
      <c r="L87" s="23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5" t="s">
        <v>136</v>
      </c>
      <c r="B88" s="57"/>
      <c r="C88" s="57"/>
      <c r="D88" s="57"/>
      <c r="E88" s="70"/>
      <c r="F88" s="70"/>
      <c r="G88" s="66"/>
      <c r="H88" s="54"/>
      <c r="I88" s="54"/>
      <c r="J88" s="54"/>
      <c r="K88" s="54"/>
      <c r="L88" s="54"/>
      <c r="M88" s="52"/>
      <c r="N88" s="1"/>
      <c r="O88" s="1"/>
      <c r="P88" s="3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6.5" customHeight="1" thickBot="1" x14ac:dyDescent="0.3">
      <c r="A89" s="6">
        <v>43675</v>
      </c>
      <c r="B89" s="55">
        <v>2849.96</v>
      </c>
      <c r="C89" s="55"/>
      <c r="D89" s="55"/>
      <c r="E89" s="67"/>
      <c r="F89" s="68"/>
      <c r="G89" s="69">
        <f>SUM(B89:F89)</f>
        <v>2849.96</v>
      </c>
      <c r="H89" s="56">
        <v>250.99</v>
      </c>
      <c r="I89" s="56">
        <v>52.12</v>
      </c>
      <c r="J89" s="56">
        <f>62.15+2.47+234.81</f>
        <v>299.43</v>
      </c>
      <c r="K89" s="56">
        <f>H89+I89+J89</f>
        <v>602.54</v>
      </c>
      <c r="L89" s="56">
        <f>G89-K89</f>
        <v>2247.42</v>
      </c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Top="1" x14ac:dyDescent="0.25">
      <c r="A90" s="28" t="s">
        <v>137</v>
      </c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8" t="s">
        <v>138</v>
      </c>
      <c r="B91" s="12"/>
      <c r="C91" s="12"/>
      <c r="D91" s="12"/>
      <c r="E91" s="12"/>
      <c r="F91" s="12"/>
      <c r="G91" s="23"/>
      <c r="H91" s="23"/>
      <c r="I91" s="23"/>
      <c r="J91" s="23"/>
      <c r="K91" s="23"/>
      <c r="L91" s="23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5" t="s">
        <v>131</v>
      </c>
      <c r="B92" s="57"/>
      <c r="C92" s="57"/>
      <c r="D92" s="57"/>
      <c r="E92" s="70"/>
      <c r="F92" s="70"/>
      <c r="G92" s="66"/>
      <c r="H92" s="54"/>
      <c r="I92" s="54"/>
      <c r="J92" s="54"/>
      <c r="K92" s="54"/>
      <c r="L92" s="54"/>
      <c r="M92" s="52"/>
      <c r="N92" s="1"/>
      <c r="O92" s="1"/>
      <c r="P92" s="3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6.5" customHeight="1" thickBot="1" x14ac:dyDescent="0.3">
      <c r="A93" s="6">
        <v>44516</v>
      </c>
      <c r="B93" s="55">
        <v>2663.52</v>
      </c>
      <c r="C93" s="55"/>
      <c r="D93" s="55"/>
      <c r="E93" s="67"/>
      <c r="F93" s="68"/>
      <c r="G93" s="69">
        <f>SUM(B93:F93)</f>
        <v>2663.52</v>
      </c>
      <c r="H93" s="56">
        <v>228.62</v>
      </c>
      <c r="I93" s="56">
        <v>25.6</v>
      </c>
      <c r="J93" s="56">
        <f>62.15+2.47</f>
        <v>64.62</v>
      </c>
      <c r="K93" s="56">
        <f>H93+I93+J93</f>
        <v>318.84000000000003</v>
      </c>
      <c r="L93" s="56">
        <f>G93-K93</f>
        <v>2344.6799999999998</v>
      </c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Top="1" x14ac:dyDescent="0.25">
      <c r="A94" s="28" t="s">
        <v>139</v>
      </c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8" t="s">
        <v>140</v>
      </c>
      <c r="B95" s="57"/>
      <c r="C95" s="57"/>
      <c r="D95" s="57"/>
      <c r="E95" s="70"/>
      <c r="F95" s="79"/>
      <c r="G95" s="66"/>
      <c r="H95" s="54"/>
      <c r="I95" s="54"/>
      <c r="J95" s="54"/>
      <c r="K95" s="54"/>
      <c r="L95" s="54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0" t="s">
        <v>131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Bot="1" x14ac:dyDescent="0.3">
      <c r="A97" s="6">
        <v>44249</v>
      </c>
      <c r="B97" s="55">
        <v>2663.52</v>
      </c>
      <c r="C97" s="55"/>
      <c r="D97" s="55"/>
      <c r="E97" s="67"/>
      <c r="F97" s="68"/>
      <c r="G97" s="69">
        <f>SUM(B97:F97)</f>
        <v>2663.52</v>
      </c>
      <c r="H97" s="56">
        <v>228.62</v>
      </c>
      <c r="I97" s="56">
        <v>11.38</v>
      </c>
      <c r="J97" s="56">
        <f>62.15+2.34+110.58+26.71</f>
        <v>201.78</v>
      </c>
      <c r="K97" s="56">
        <f>H97+I97+J97</f>
        <v>441.78</v>
      </c>
      <c r="L97" s="56">
        <f>G97-K97</f>
        <v>2221.7399999999998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28" t="s">
        <v>141</v>
      </c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8" t="s">
        <v>142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" t="s">
        <v>131</v>
      </c>
      <c r="B100" s="57"/>
      <c r="C100" s="57"/>
      <c r="D100" s="57"/>
      <c r="E100" s="70"/>
      <c r="F100" s="79"/>
      <c r="G100" s="66"/>
      <c r="H100" s="54"/>
      <c r="I100" s="54"/>
      <c r="J100" s="54"/>
      <c r="K100" s="54"/>
      <c r="L100" s="54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6">
        <v>44249</v>
      </c>
      <c r="B101" s="55">
        <v>2663.52</v>
      </c>
      <c r="C101" s="55"/>
      <c r="D101" s="55"/>
      <c r="E101" s="67"/>
      <c r="F101" s="68"/>
      <c r="G101" s="69">
        <f>SUM(B101:F101)</f>
        <v>2663.52</v>
      </c>
      <c r="H101" s="56">
        <v>228.62</v>
      </c>
      <c r="I101" s="56">
        <v>39.82</v>
      </c>
      <c r="J101" s="56">
        <f>62.15+2.47</f>
        <v>64.62</v>
      </c>
      <c r="K101" s="56">
        <f>H101+I101+J101</f>
        <v>333.06</v>
      </c>
      <c r="L101" s="56">
        <f>G101-K101</f>
        <v>2330.46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28" t="s">
        <v>147</v>
      </c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33"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102:L102"/>
    <mergeCell ref="B69:L69"/>
    <mergeCell ref="B79:L79"/>
    <mergeCell ref="B86:L86"/>
    <mergeCell ref="B90:L90"/>
    <mergeCell ref="B94:L94"/>
    <mergeCell ref="B98:L98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033"/>
  <sheetViews>
    <sheetView tabSelected="1" zoomScaleNormal="100" workbookViewId="0">
      <selection sqref="A1:L1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109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102" t="s">
        <v>3</v>
      </c>
      <c r="C3" s="102" t="s">
        <v>92</v>
      </c>
      <c r="D3" s="99" t="s">
        <v>93</v>
      </c>
      <c r="E3" s="112" t="s">
        <v>8</v>
      </c>
      <c r="F3" s="115" t="s">
        <v>94</v>
      </c>
      <c r="G3" s="115" t="s">
        <v>9</v>
      </c>
      <c r="H3" s="102" t="s">
        <v>11</v>
      </c>
      <c r="I3" s="102" t="s">
        <v>95</v>
      </c>
      <c r="J3" s="99" t="s">
        <v>12</v>
      </c>
      <c r="K3" s="99" t="s">
        <v>13</v>
      </c>
      <c r="L3" s="9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100"/>
      <c r="C4" s="100"/>
      <c r="D4" s="100"/>
      <c r="E4" s="113"/>
      <c r="F4" s="100"/>
      <c r="G4" s="100"/>
      <c r="H4" s="100"/>
      <c r="I4" s="100"/>
      <c r="J4" s="100"/>
      <c r="K4" s="100"/>
      <c r="L4" s="10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108"/>
      <c r="C5" s="108"/>
      <c r="D5" s="108"/>
      <c r="E5" s="114"/>
      <c r="F5" s="108"/>
      <c r="G5" s="108"/>
      <c r="H5" s="108"/>
      <c r="I5" s="108"/>
      <c r="J5" s="108"/>
      <c r="K5" s="108"/>
      <c r="L5" s="10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62.15+2.34+66.85</f>
        <v>131.33999999999997</v>
      </c>
      <c r="K9" s="56">
        <f>SUM(H9:J9)</f>
        <v>298.38</v>
      </c>
      <c r="L9" s="56">
        <f>G9-K9</f>
        <v>1759.67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62.15+2.6+126.81</f>
        <v>191.56</v>
      </c>
      <c r="K12" s="56">
        <f>H12+I12+J12</f>
        <v>822.31999999999994</v>
      </c>
      <c r="L12" s="56">
        <f>G12-K12</f>
        <v>3357.16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62.15+2.6+341.28</f>
        <v>406.03</v>
      </c>
      <c r="K18" s="56">
        <f>H18+I18+J18</f>
        <v>847.32999999999993</v>
      </c>
      <c r="L18" s="56">
        <f>G18-K18</f>
        <v>2731.61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62.15+2.6+191.75+26.71</f>
        <v>283.20999999999998</v>
      </c>
      <c r="K21" s="56">
        <f>SUM(H21:J21)</f>
        <v>426.80999999999995</v>
      </c>
      <c r="L21" s="56">
        <f>G21-K21</f>
        <v>1370.77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62.15+2.6</f>
        <v>64.75</v>
      </c>
      <c r="K24" s="56">
        <f>SUM(H24:J24)</f>
        <v>618.26</v>
      </c>
      <c r="L24" s="56">
        <f>G24-K24</f>
        <v>3381.74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62.15+2.6+164.39+53.42</f>
        <v>282.56</v>
      </c>
      <c r="K27" s="56">
        <f>SUM(H27:J27)</f>
        <v>818.63000000000011</v>
      </c>
      <c r="L27" s="56">
        <f>G27-K27</f>
        <v>3010.83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62.15+2.6</f>
        <v>64.75</v>
      </c>
      <c r="K30" s="56">
        <f>SUM(H30:J30)</f>
        <v>219.67</v>
      </c>
      <c r="L30" s="56">
        <f>G30-K30</f>
        <v>1703.74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>
        <v>447.37</v>
      </c>
      <c r="G33" s="69">
        <f>SUM(B33:F33)</f>
        <v>4026.31</v>
      </c>
      <c r="H33" s="56">
        <v>338.47</v>
      </c>
      <c r="I33" s="56">
        <v>131.27000000000001</v>
      </c>
      <c r="J33" s="56">
        <f>62.15+2.47+622.88</f>
        <v>687.5</v>
      </c>
      <c r="K33" s="56">
        <f>SUM(H33:J33)</f>
        <v>1157.24</v>
      </c>
      <c r="L33" s="56">
        <f>G33-K33</f>
        <v>2869.0699999999997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992.73</v>
      </c>
      <c r="C36" s="55">
        <f>961.71+320.57</f>
        <v>1282.28</v>
      </c>
      <c r="D36" s="55"/>
      <c r="E36" s="67"/>
      <c r="F36" s="68"/>
      <c r="G36" s="69">
        <f>SUM(B36:F36)</f>
        <v>2275.0100000000002</v>
      </c>
      <c r="H36" s="59">
        <f>89.35+97.22</f>
        <v>186.57</v>
      </c>
      <c r="I36" s="56"/>
      <c r="J36" s="59">
        <f>62.15+1.17+90.21+26.71</f>
        <v>180.24</v>
      </c>
      <c r="K36" s="56">
        <f>SUM(H36:J36)</f>
        <v>366.81</v>
      </c>
      <c r="L36" s="56">
        <f>G36-K36</f>
        <v>1908.2000000000003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19.23+62.15+2.6+417.6</f>
        <v>501.58000000000004</v>
      </c>
      <c r="K39" s="56">
        <f>H39+I39+J39</f>
        <v>793.35</v>
      </c>
      <c r="L39" s="56">
        <f>G39-K39</f>
        <v>1995.5900000000001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19.23+62.15+2.6+213.21</f>
        <v>297.19</v>
      </c>
      <c r="K42" s="56">
        <f>H42+I42+J42</f>
        <v>452.11</v>
      </c>
      <c r="L42" s="56">
        <f>G42-K42</f>
        <v>1471.3000000000002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62.15+2.6+126.81</f>
        <v>191.56</v>
      </c>
      <c r="K49" s="56">
        <f>H49+I49+J49</f>
        <v>843.56999999999994</v>
      </c>
      <c r="L49" s="56">
        <f>G49-K49</f>
        <v>3399.6200000000008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137.71</v>
      </c>
      <c r="I52" s="56"/>
      <c r="J52" s="56">
        <f>65.46+62.15+2.6</f>
        <v>130.20999999999998</v>
      </c>
      <c r="K52" s="56">
        <f>H52+I52+J52</f>
        <v>267.91999999999996</v>
      </c>
      <c r="L52" s="56">
        <f>G52-K52</f>
        <v>1529.6599999999999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1923.41</v>
      </c>
      <c r="C55" s="55"/>
      <c r="D55" s="55"/>
      <c r="E55" s="67"/>
      <c r="F55" s="67"/>
      <c r="G55" s="69">
        <f>SUM(B55:F55)</f>
        <v>1923.41</v>
      </c>
      <c r="H55" s="56">
        <v>154.91999999999999</v>
      </c>
      <c r="I55" s="56"/>
      <c r="J55" s="56">
        <f>19.23+62.15+2.21+142.87</f>
        <v>226.45999999999998</v>
      </c>
      <c r="K55" s="56">
        <f>H55+I55+J55</f>
        <v>381.38</v>
      </c>
      <c r="L55" s="56">
        <f>G55-K55</f>
        <v>1542.0300000000002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09" t="s">
        <v>90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102" t="s">
        <v>3</v>
      </c>
      <c r="C66" s="102" t="s">
        <v>92</v>
      </c>
      <c r="D66" s="99" t="s">
        <v>93</v>
      </c>
      <c r="E66" s="112" t="s">
        <v>8</v>
      </c>
      <c r="F66" s="115" t="s">
        <v>94</v>
      </c>
      <c r="G66" s="115" t="s">
        <v>9</v>
      </c>
      <c r="H66" s="102" t="s">
        <v>11</v>
      </c>
      <c r="I66" s="102" t="s">
        <v>95</v>
      </c>
      <c r="J66" s="99" t="s">
        <v>12</v>
      </c>
      <c r="K66" s="99" t="s">
        <v>13</v>
      </c>
      <c r="L66" s="99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100"/>
      <c r="C67" s="100"/>
      <c r="D67" s="100"/>
      <c r="E67" s="113"/>
      <c r="F67" s="100"/>
      <c r="G67" s="100"/>
      <c r="H67" s="100"/>
      <c r="I67" s="100"/>
      <c r="J67" s="100"/>
      <c r="K67" s="100"/>
      <c r="L67" s="100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108"/>
      <c r="C68" s="108"/>
      <c r="D68" s="108"/>
      <c r="E68" s="114"/>
      <c r="F68" s="108"/>
      <c r="G68" s="108"/>
      <c r="H68" s="108"/>
      <c r="I68" s="108"/>
      <c r="J68" s="108"/>
      <c r="K68" s="108"/>
      <c r="L68" s="10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2886.52</v>
      </c>
      <c r="C72" s="55"/>
      <c r="D72" s="55">
        <v>57.73</v>
      </c>
      <c r="E72" s="67">
        <v>1298.93</v>
      </c>
      <c r="F72" s="67"/>
      <c r="G72" s="69">
        <f>SUM(B72:F72)</f>
        <v>4243.18</v>
      </c>
      <c r="H72" s="56">
        <v>430.22</v>
      </c>
      <c r="I72" s="56">
        <v>221.79</v>
      </c>
      <c r="J72" s="56">
        <f>62.15+2.47+516.44+80.13</f>
        <v>661.19</v>
      </c>
      <c r="K72" s="56">
        <f>H72+I72+J72</f>
        <v>1313.2</v>
      </c>
      <c r="L72" s="56">
        <f>G72-K72</f>
        <v>2929.9800000000005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1365</v>
      </c>
      <c r="C75" s="55">
        <f>934.55+311.52</f>
        <v>1246.07</v>
      </c>
      <c r="D75" s="55"/>
      <c r="E75" s="67">
        <v>614.25</v>
      </c>
      <c r="F75" s="67"/>
      <c r="G75" s="69">
        <f>SUM(B75:F75)</f>
        <v>3225.3199999999997</v>
      </c>
      <c r="H75" s="56">
        <f>196.98+93.44</f>
        <v>290.41999999999996</v>
      </c>
      <c r="I75" s="56"/>
      <c r="J75" s="56">
        <f>62.15+2.6+66.85+26.71</f>
        <v>158.31</v>
      </c>
      <c r="K75" s="56">
        <f>H75+I75+J75</f>
        <v>448.72999999999996</v>
      </c>
      <c r="L75" s="56">
        <f>G75-K75</f>
        <v>2776.5899999999997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155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156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44686</v>
      </c>
      <c r="B78" s="55">
        <v>1565.63</v>
      </c>
      <c r="C78" s="55"/>
      <c r="D78" s="55"/>
      <c r="E78" s="67"/>
      <c r="F78" s="67"/>
      <c r="G78" s="69">
        <f>SUM(B78:F78)</f>
        <v>1565.63</v>
      </c>
      <c r="H78" s="56">
        <v>122.72</v>
      </c>
      <c r="I78" s="56"/>
      <c r="J78" s="56">
        <v>2.4700000000000002</v>
      </c>
      <c r="K78" s="56">
        <f>H78+I78+J78</f>
        <v>125.19</v>
      </c>
      <c r="L78" s="56">
        <f>G78-K78</f>
        <v>1440.44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1613.18</v>
      </c>
      <c r="C81" s="55">
        <f>464.82+154.94</f>
        <v>619.76</v>
      </c>
      <c r="D81" s="55"/>
      <c r="E81" s="67">
        <v>725.93</v>
      </c>
      <c r="F81" s="68"/>
      <c r="G81" s="69">
        <f>SUM(B81:F81)</f>
        <v>2958.87</v>
      </c>
      <c r="H81" s="56">
        <f>217.58+46.48</f>
        <v>264.06</v>
      </c>
      <c r="I81" s="56">
        <v>16.309999999999999</v>
      </c>
      <c r="J81" s="56">
        <f>19.23+62.15+1.82+204.23</f>
        <v>287.42999999999995</v>
      </c>
      <c r="K81" s="56">
        <f>H81+I81+J81</f>
        <v>567.79999999999995</v>
      </c>
      <c r="L81" s="56">
        <f>G81-K81</f>
        <v>2391.0699999999997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26.64+62.15+2.08</f>
        <v>90.86999999999999</v>
      </c>
      <c r="K85" s="56">
        <f>H85+I85+J85</f>
        <v>359.31</v>
      </c>
      <c r="L85" s="56">
        <f>G85-K85</f>
        <v>2304.21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28.5+62.15+2.6+26.71</f>
        <v>119.96000000000001</v>
      </c>
      <c r="K88" s="56">
        <f>H88+I88+J88</f>
        <v>680.65</v>
      </c>
      <c r="L88" s="56">
        <f>G88-K88</f>
        <v>3451.7919999999999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2849.96</v>
      </c>
      <c r="C92" s="55"/>
      <c r="D92" s="55"/>
      <c r="E92" s="67"/>
      <c r="F92" s="68"/>
      <c r="G92" s="69">
        <f>SUM(B92:F92)</f>
        <v>2849.96</v>
      </c>
      <c r="H92" s="56">
        <v>250.99</v>
      </c>
      <c r="I92" s="56">
        <v>52.12</v>
      </c>
      <c r="J92" s="56">
        <f>62.15+2.34+90.21</f>
        <v>154.69999999999999</v>
      </c>
      <c r="K92" s="56">
        <f>H92+I92+J92</f>
        <v>457.81</v>
      </c>
      <c r="L92" s="56">
        <f>G92-K92</f>
        <v>2392.15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62.15+2.34</f>
        <v>64.489999999999995</v>
      </c>
      <c r="K96" s="56">
        <f>H96+I96+J96</f>
        <v>318.70999999999998</v>
      </c>
      <c r="L96" s="56">
        <f>G96-K96</f>
        <v>2344.81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62.15+1.82+110.58+26.71</f>
        <v>201.26000000000002</v>
      </c>
      <c r="K100" s="56">
        <f>H100+I100+J100</f>
        <v>441.26</v>
      </c>
      <c r="L100" s="56">
        <f>G100-K100</f>
        <v>2222.2600000000002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62.15+2.73</f>
        <v>64.88</v>
      </c>
      <c r="K104" s="56">
        <f>H104+I104+J104</f>
        <v>333.32</v>
      </c>
      <c r="L104" s="56">
        <f>G104-K104</f>
        <v>2330.1999999999998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3">
    <mergeCell ref="B105:L105"/>
    <mergeCell ref="B69:L69"/>
    <mergeCell ref="B82:L82"/>
    <mergeCell ref="B89:L89"/>
    <mergeCell ref="B93:L93"/>
    <mergeCell ref="B97:L97"/>
    <mergeCell ref="B101:L101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7.625" customWidth="1"/>
    <col min="12" max="12" width="10.25" customWidth="1"/>
    <col min="13" max="13" width="15.375" customWidth="1"/>
    <col min="14" max="33" width="7.625" customWidth="1"/>
  </cols>
  <sheetData>
    <row r="1" spans="1:18" x14ac:dyDescent="0.25">
      <c r="A1" s="10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52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57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52"/>
      <c r="O4" s="1"/>
      <c r="P4" s="1"/>
      <c r="Q4" s="1"/>
      <c r="R4" s="1"/>
    </row>
    <row r="5" spans="1:18" ht="19.5" customHeight="1" x14ac:dyDescent="0.25">
      <c r="A5" s="91" t="s">
        <v>2</v>
      </c>
      <c r="B5" s="102" t="s">
        <v>3</v>
      </c>
      <c r="C5" s="102" t="s">
        <v>4</v>
      </c>
      <c r="D5" s="99" t="s">
        <v>5</v>
      </c>
      <c r="E5" s="99" t="s">
        <v>6</v>
      </c>
      <c r="F5" s="99" t="s">
        <v>7</v>
      </c>
      <c r="G5" s="102" t="s">
        <v>8</v>
      </c>
      <c r="H5" s="99" t="s">
        <v>9</v>
      </c>
      <c r="I5" s="102" t="s">
        <v>10</v>
      </c>
      <c r="J5" s="102" t="s">
        <v>11</v>
      </c>
      <c r="K5" s="99" t="s">
        <v>12</v>
      </c>
      <c r="L5" s="99" t="s">
        <v>13</v>
      </c>
      <c r="M5" s="99" t="s">
        <v>14</v>
      </c>
      <c r="N5" s="52"/>
      <c r="O5" s="1"/>
      <c r="P5" s="1"/>
      <c r="Q5" s="1"/>
      <c r="R5" s="1"/>
    </row>
    <row r="6" spans="1:18" ht="18.75" customHeight="1" x14ac:dyDescent="0.25">
      <c r="A6" s="90" t="s">
        <v>15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52"/>
      <c r="O6" s="1"/>
      <c r="P6" s="1"/>
      <c r="Q6" s="1"/>
      <c r="R6" s="1"/>
    </row>
    <row r="7" spans="1:18" ht="15.75" customHeight="1" x14ac:dyDescent="0.25">
      <c r="A7" s="92" t="s">
        <v>16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52"/>
      <c r="O7" s="1"/>
      <c r="P7" s="1"/>
      <c r="Q7" s="1"/>
      <c r="R7" s="1"/>
    </row>
    <row r="8" spans="1:18" ht="20.25" customHeight="1" x14ac:dyDescent="0.25">
      <c r="A8" s="2" t="s">
        <v>17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52"/>
      <c r="O8" s="1"/>
      <c r="P8" s="1"/>
      <c r="Q8" s="1"/>
      <c r="R8" s="1"/>
    </row>
    <row r="9" spans="1:18" ht="18.75" customHeight="1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ht="15.75" customHeight="1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ht="18.75" customHeight="1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f>SUM(B11:G11)</f>
        <v>6000</v>
      </c>
      <c r="I11" s="7">
        <v>604</v>
      </c>
      <c r="J11" s="7">
        <v>642.33000000000004</v>
      </c>
      <c r="K11" s="7"/>
      <c r="L11" s="7">
        <f>SUM(I11:K11)</f>
        <v>1246.33</v>
      </c>
      <c r="M11" s="7">
        <f>H11-L11</f>
        <v>4753.67</v>
      </c>
      <c r="N11" s="52"/>
      <c r="O11" s="1"/>
      <c r="P11" s="1"/>
      <c r="Q11" s="1"/>
      <c r="R11" s="1"/>
    </row>
    <row r="12" spans="1:18" ht="18.75" customHeight="1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ht="18.75" customHeight="1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ht="18.75" customHeight="1" x14ac:dyDescent="0.25">
      <c r="A14" s="6">
        <v>43606</v>
      </c>
      <c r="B14" s="11">
        <v>1400</v>
      </c>
      <c r="C14" s="11"/>
      <c r="D14" s="11"/>
      <c r="E14" s="11"/>
      <c r="F14" s="11"/>
      <c r="G14" s="11"/>
      <c r="H14" s="7">
        <f>SUM(B14:G14)</f>
        <v>1400</v>
      </c>
      <c r="I14" s="7"/>
      <c r="J14" s="7">
        <v>112</v>
      </c>
      <c r="K14" s="7">
        <f>84</f>
        <v>84</v>
      </c>
      <c r="L14" s="7">
        <f>SUM(I14:K14)</f>
        <v>196</v>
      </c>
      <c r="M14" s="7">
        <f>H14-L14</f>
        <v>1204</v>
      </c>
      <c r="N14" s="52"/>
      <c r="O14" s="1"/>
      <c r="P14" s="1"/>
      <c r="Q14" s="1"/>
      <c r="R14" s="1"/>
    </row>
    <row r="15" spans="1:18" x14ac:dyDescent="0.25">
      <c r="A15" s="3" t="s">
        <v>58</v>
      </c>
      <c r="B15" s="12"/>
      <c r="F15" s="13"/>
      <c r="N15" s="52"/>
      <c r="O15" s="1"/>
      <c r="P15" s="1"/>
      <c r="Q15" s="1"/>
      <c r="R15" s="1"/>
    </row>
    <row r="16" spans="1:18" x14ac:dyDescent="0.25">
      <c r="A16" s="5" t="s">
        <v>59</v>
      </c>
      <c r="B16" s="12"/>
      <c r="F16" s="13"/>
      <c r="N16" s="52"/>
      <c r="O16" s="1"/>
      <c r="P16" s="1"/>
      <c r="Q16" s="1"/>
      <c r="R16" s="1"/>
    </row>
    <row r="17" spans="1:33" x14ac:dyDescent="0.25">
      <c r="A17" s="6">
        <v>43623</v>
      </c>
      <c r="B17" s="11">
        <v>2000</v>
      </c>
      <c r="C17" s="11"/>
      <c r="D17" s="11"/>
      <c r="E17" s="11"/>
      <c r="F17" s="11"/>
      <c r="G17" s="11"/>
      <c r="H17" s="7">
        <f>SUM(B17:G17)</f>
        <v>2000</v>
      </c>
      <c r="I17" s="7"/>
      <c r="J17" s="7">
        <v>180</v>
      </c>
      <c r="K17" s="7">
        <f>120</f>
        <v>120</v>
      </c>
      <c r="L17" s="7">
        <f>SUM(I17:K17)</f>
        <v>300</v>
      </c>
      <c r="M17" s="7">
        <f>H17-L17</f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3" t="s">
        <v>22</v>
      </c>
      <c r="B18" s="12"/>
      <c r="F18" s="13"/>
      <c r="N18" s="52"/>
      <c r="O18" s="1"/>
      <c r="P18" s="1"/>
      <c r="Q18" s="1"/>
      <c r="R18" s="1"/>
    </row>
    <row r="19" spans="1:33" x14ac:dyDescent="0.25">
      <c r="A19" s="5" t="s">
        <v>23</v>
      </c>
      <c r="B19" s="12"/>
      <c r="F19" s="13"/>
      <c r="N19" s="52"/>
      <c r="O19" s="1"/>
      <c r="P19" s="1"/>
      <c r="Q19" s="1"/>
      <c r="R19" s="1"/>
    </row>
    <row r="20" spans="1:33" x14ac:dyDescent="0.25">
      <c r="A20" s="6">
        <v>43507</v>
      </c>
      <c r="B20" s="11">
        <v>2000</v>
      </c>
      <c r="C20" s="11"/>
      <c r="D20" s="11"/>
      <c r="E20" s="11"/>
      <c r="F20" s="11"/>
      <c r="G20" s="11"/>
      <c r="H20" s="7">
        <f>B20+C20+D20+E20+F20+G20</f>
        <v>2000</v>
      </c>
      <c r="I20" s="7"/>
      <c r="J20" s="7">
        <v>180</v>
      </c>
      <c r="K20" s="7">
        <f>120</f>
        <v>120</v>
      </c>
      <c r="L20" s="7">
        <f>I20+J20+K20</f>
        <v>300</v>
      </c>
      <c r="M20" s="7">
        <f>H20-L20</f>
        <v>1700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8" t="s">
        <v>24</v>
      </c>
      <c r="B21" s="12"/>
      <c r="C21" s="12"/>
      <c r="D21" s="12"/>
      <c r="E21" s="12"/>
      <c r="F21" s="12"/>
      <c r="G21" s="12"/>
      <c r="H21" s="9"/>
      <c r="I21" s="9"/>
      <c r="J21" s="9"/>
      <c r="K21" s="9"/>
      <c r="L21" s="9"/>
      <c r="M21" s="9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10" t="s">
        <v>21</v>
      </c>
      <c r="B22" s="12"/>
      <c r="C22" s="12"/>
      <c r="D22" s="12"/>
      <c r="E22" s="12"/>
      <c r="F22" s="12"/>
      <c r="G22" s="12"/>
      <c r="H22" s="9"/>
      <c r="I22" s="9"/>
      <c r="J22" s="9"/>
      <c r="K22" s="9"/>
      <c r="L22" s="9"/>
      <c r="M22" s="9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43606</v>
      </c>
      <c r="B23" s="11">
        <v>1400</v>
      </c>
      <c r="C23" s="11"/>
      <c r="D23" s="11"/>
      <c r="E23" s="11"/>
      <c r="F23" s="11"/>
      <c r="G23" s="11"/>
      <c r="H23" s="7">
        <f>B23+C23+D23+E23+F23+G23</f>
        <v>1400</v>
      </c>
      <c r="I23" s="7"/>
      <c r="J23" s="7">
        <v>112</v>
      </c>
      <c r="K23" s="7">
        <f>84</f>
        <v>84</v>
      </c>
      <c r="L23" s="7">
        <f>I23+J23+K23</f>
        <v>196</v>
      </c>
      <c r="M23" s="7">
        <f>H23-L23</f>
        <v>1204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25</v>
      </c>
      <c r="B24" s="12"/>
      <c r="F24" s="1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26</v>
      </c>
      <c r="B25" s="12"/>
      <c r="F25" s="13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f>B26+C26+D26+E26+F26+G26</f>
        <v>6000</v>
      </c>
      <c r="I26" s="7">
        <v>604</v>
      </c>
      <c r="J26" s="7">
        <v>642.33000000000004</v>
      </c>
      <c r="K26" s="7"/>
      <c r="L26" s="7">
        <f>I26+J26+K26</f>
        <v>1246.33</v>
      </c>
      <c r="M26" s="7">
        <f>H26-L26</f>
        <v>4753.67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27</v>
      </c>
      <c r="B27" s="12"/>
      <c r="F27" s="13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28</v>
      </c>
      <c r="B28" s="12"/>
      <c r="F28" s="13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f>B29+C29+D29+E29+F29+G29</f>
        <v>6000</v>
      </c>
      <c r="I29" s="7">
        <v>499.72</v>
      </c>
      <c r="J29" s="7">
        <v>642.33000000000004</v>
      </c>
      <c r="K29" s="7"/>
      <c r="L29" s="7">
        <f>I29+J29+K29</f>
        <v>1142.0500000000002</v>
      </c>
      <c r="M29" s="7">
        <f>H29-L29</f>
        <v>4857.95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29</v>
      </c>
      <c r="B30" s="12"/>
      <c r="F30" s="13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30</v>
      </c>
      <c r="B31" s="12"/>
      <c r="F31" s="13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6">
        <v>43507</v>
      </c>
      <c r="B32" s="11">
        <v>6000</v>
      </c>
      <c r="C32" s="11"/>
      <c r="D32" s="11"/>
      <c r="E32" s="11"/>
      <c r="F32" s="11"/>
      <c r="G32" s="11"/>
      <c r="H32" s="7">
        <f>B32+C32+D32+E32+F32+G32</f>
        <v>6000</v>
      </c>
      <c r="I32" s="7">
        <v>700.79</v>
      </c>
      <c r="J32" s="7">
        <v>290.38</v>
      </c>
      <c r="K32" s="7"/>
      <c r="L32" s="7">
        <f>I32+J32+K32</f>
        <v>991.17</v>
      </c>
      <c r="M32" s="7">
        <f>H32-L32</f>
        <v>5008.83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3" t="s">
        <v>31</v>
      </c>
      <c r="B33" s="12"/>
      <c r="F33" s="1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5" t="s">
        <v>32</v>
      </c>
      <c r="B34" s="12"/>
      <c r="F34" s="13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customHeight="1" x14ac:dyDescent="0.25">
      <c r="A35" s="94">
        <v>43507</v>
      </c>
      <c r="B35" s="95">
        <v>7000</v>
      </c>
      <c r="C35" s="95"/>
      <c r="D35" s="95"/>
      <c r="E35" s="95"/>
      <c r="F35" s="95"/>
      <c r="G35" s="95"/>
      <c r="H35" s="7">
        <f>B35+C35+D35+E35+F35+G35</f>
        <v>7000</v>
      </c>
      <c r="I35" s="7">
        <v>774.72</v>
      </c>
      <c r="J35" s="7">
        <v>642.33000000000004</v>
      </c>
      <c r="K35" s="7"/>
      <c r="L35" s="7">
        <f>I35+J35+K35</f>
        <v>1417.0500000000002</v>
      </c>
      <c r="M35" s="7">
        <f>H35-L35</f>
        <v>5582.95</v>
      </c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4" t="s">
        <v>2</v>
      </c>
      <c r="B36" s="102" t="s">
        <v>3</v>
      </c>
      <c r="C36" s="102" t="s">
        <v>4</v>
      </c>
      <c r="D36" s="99" t="s">
        <v>5</v>
      </c>
      <c r="E36" s="99" t="s">
        <v>6</v>
      </c>
      <c r="F36" s="99" t="s">
        <v>7</v>
      </c>
      <c r="G36" s="102" t="s">
        <v>8</v>
      </c>
      <c r="H36" s="99" t="s">
        <v>9</v>
      </c>
      <c r="I36" s="102" t="s">
        <v>10</v>
      </c>
      <c r="J36" s="102" t="s">
        <v>11</v>
      </c>
      <c r="K36" s="99" t="s">
        <v>12</v>
      </c>
      <c r="L36" s="99" t="s">
        <v>13</v>
      </c>
      <c r="M36" s="99" t="s">
        <v>14</v>
      </c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90" t="s">
        <v>15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93" t="s">
        <v>16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5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7" t="s">
        <v>34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35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43525</v>
      </c>
      <c r="B42" s="19">
        <v>6000</v>
      </c>
      <c r="C42" s="19"/>
      <c r="D42" s="19"/>
      <c r="E42" s="19"/>
      <c r="F42" s="19"/>
      <c r="G42" s="19"/>
      <c r="H42" s="7">
        <f>SUM(B42:G42)</f>
        <v>6000</v>
      </c>
      <c r="I42" s="7">
        <v>551.86</v>
      </c>
      <c r="J42" s="7">
        <v>642.33000000000004</v>
      </c>
      <c r="K42" s="7"/>
      <c r="L42" s="7">
        <f>SUM(I42:K42)</f>
        <v>1194.19</v>
      </c>
      <c r="M42" s="20">
        <f>H42-L42</f>
        <v>4805.8099999999995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36</v>
      </c>
      <c r="B43" s="12"/>
      <c r="F43" s="13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23</v>
      </c>
      <c r="B44" s="12"/>
      <c r="F44" s="13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2000</v>
      </c>
      <c r="C45" s="11"/>
      <c r="D45" s="11"/>
      <c r="E45" s="11"/>
      <c r="F45" s="11"/>
      <c r="G45" s="11"/>
      <c r="H45" s="7">
        <f>B45+C45+D45+E45+F45+G45</f>
        <v>2000</v>
      </c>
      <c r="I45" s="7"/>
      <c r="J45" s="7">
        <v>180</v>
      </c>
      <c r="K45" s="7">
        <f>120</f>
        <v>120</v>
      </c>
      <c r="L45" s="7">
        <f>I45+J45+K45</f>
        <v>300</v>
      </c>
      <c r="M45" s="20">
        <f>H45-L45</f>
        <v>1700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37</v>
      </c>
      <c r="B46" s="12"/>
      <c r="F46" s="13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38</v>
      </c>
      <c r="B47" s="12"/>
      <c r="F47" s="13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1400</v>
      </c>
      <c r="C48" s="11"/>
      <c r="D48" s="11"/>
      <c r="E48" s="11"/>
      <c r="F48" s="11"/>
      <c r="G48" s="11"/>
      <c r="H48" s="7">
        <f>B48+C48+D48+E48+F48+G48</f>
        <v>1400</v>
      </c>
      <c r="I48" s="7"/>
      <c r="J48" s="7">
        <v>112</v>
      </c>
      <c r="K48" s="7">
        <f>84</f>
        <v>84</v>
      </c>
      <c r="L48" s="7">
        <f>I48+J48+K48</f>
        <v>196</v>
      </c>
      <c r="M48" s="20">
        <f>H48-L48</f>
        <v>1204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3" t="s">
        <v>39</v>
      </c>
      <c r="B49" s="12"/>
      <c r="F49" s="13"/>
      <c r="M49" s="21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5" t="s">
        <v>40</v>
      </c>
      <c r="B50" s="12"/>
      <c r="F50" s="13"/>
      <c r="M50" s="21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6">
        <v>43507</v>
      </c>
      <c r="B51" s="11">
        <v>3800</v>
      </c>
      <c r="C51" s="11"/>
      <c r="D51" s="11"/>
      <c r="E51" s="11"/>
      <c r="F51" s="11"/>
      <c r="G51" s="11"/>
      <c r="H51" s="7">
        <f>B51+C51+D51+E51+F51+G51</f>
        <v>3800</v>
      </c>
      <c r="I51" s="7">
        <v>95.62</v>
      </c>
      <c r="J51" s="7">
        <v>418</v>
      </c>
      <c r="K51" s="7"/>
      <c r="L51" s="7">
        <f>I51+J51+K51</f>
        <v>513.62</v>
      </c>
      <c r="M51" s="20">
        <f>H51-L51</f>
        <v>3286.38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8" t="s">
        <v>41</v>
      </c>
      <c r="B52" s="12"/>
      <c r="C52" s="12"/>
      <c r="D52" s="12"/>
      <c r="E52" s="12"/>
      <c r="F52" s="12"/>
      <c r="G52" s="12"/>
      <c r="H52" s="9"/>
      <c r="I52" s="9"/>
      <c r="J52" s="9"/>
      <c r="K52" s="9"/>
      <c r="L52" s="9"/>
      <c r="M52" s="22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0" t="s">
        <v>38</v>
      </c>
      <c r="B53" s="12"/>
      <c r="C53" s="12"/>
      <c r="D53" s="12"/>
      <c r="E53" s="12"/>
      <c r="F53" s="12"/>
      <c r="G53" s="12"/>
      <c r="H53" s="9"/>
      <c r="I53" s="9"/>
      <c r="J53" s="9"/>
      <c r="K53" s="9"/>
      <c r="L53" s="9"/>
      <c r="M53" s="22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0">
        <v>43557</v>
      </c>
      <c r="B54" s="12">
        <v>1400</v>
      </c>
      <c r="C54" s="12"/>
      <c r="D54" s="12"/>
      <c r="E54" s="12"/>
      <c r="F54" s="12"/>
      <c r="G54" s="12"/>
      <c r="H54" s="23">
        <f>SUM(B54:G54)</f>
        <v>1400</v>
      </c>
      <c r="I54" s="9"/>
      <c r="J54" s="9">
        <v>112</v>
      </c>
      <c r="K54" s="9">
        <v>84</v>
      </c>
      <c r="L54" s="9">
        <f>I54+J54+K54</f>
        <v>196</v>
      </c>
      <c r="M54" s="24">
        <f>H54-L54</f>
        <v>1204</v>
      </c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25" t="s">
        <v>42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3" t="s">
        <v>43</v>
      </c>
      <c r="B56" s="12"/>
      <c r="F56" s="13"/>
      <c r="M56" s="2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5" t="s">
        <v>44</v>
      </c>
      <c r="B57" s="12"/>
      <c r="F57" s="13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6">
        <v>43535</v>
      </c>
      <c r="B58" s="11">
        <v>3000</v>
      </c>
      <c r="C58" s="11"/>
      <c r="D58" s="11"/>
      <c r="E58" s="11"/>
      <c r="F58" s="11"/>
      <c r="G58" s="11"/>
      <c r="H58" s="7">
        <f>B58+C58+D58+E58+F58+G58</f>
        <v>3000</v>
      </c>
      <c r="I58" s="7">
        <v>29.01</v>
      </c>
      <c r="J58" s="7">
        <v>330</v>
      </c>
      <c r="K58" s="7"/>
      <c r="L58" s="7">
        <f>I58+J58+K58</f>
        <v>359.01</v>
      </c>
      <c r="M58" s="20">
        <f>H58-L58</f>
        <v>2640.99</v>
      </c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28" t="s">
        <v>45</v>
      </c>
      <c r="B59" s="26"/>
      <c r="C59" s="29"/>
      <c r="D59" s="29"/>
      <c r="E59" s="29"/>
      <c r="F59" s="30"/>
      <c r="G59" s="29"/>
      <c r="H59" s="29"/>
      <c r="I59" s="29"/>
      <c r="J59" s="29"/>
      <c r="K59" s="29"/>
      <c r="L59" s="29"/>
      <c r="M59" s="31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46</v>
      </c>
      <c r="B60" s="12"/>
      <c r="F60" s="13"/>
      <c r="M60" s="21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44</v>
      </c>
      <c r="B61" s="12"/>
      <c r="F61" s="13"/>
      <c r="M61" s="21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43535</v>
      </c>
      <c r="B62" s="11">
        <v>3000</v>
      </c>
      <c r="C62" s="11"/>
      <c r="D62" s="11"/>
      <c r="E62" s="11"/>
      <c r="F62" s="11"/>
      <c r="G62" s="11"/>
      <c r="H62" s="7">
        <f>B62+C62+D62+E62+F62+G62</f>
        <v>3000</v>
      </c>
      <c r="I62" s="7">
        <v>43.23</v>
      </c>
      <c r="J62" s="7">
        <v>330</v>
      </c>
      <c r="K62" s="7"/>
      <c r="L62" s="7">
        <f>I62+J62+K62</f>
        <v>373.23</v>
      </c>
      <c r="M62" s="20">
        <f>H62-L62</f>
        <v>2626.77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47</v>
      </c>
      <c r="B63" s="12"/>
      <c r="C63" s="12"/>
      <c r="D63" s="12"/>
      <c r="E63" s="12"/>
      <c r="F63" s="12"/>
      <c r="G63" s="12"/>
      <c r="H63" s="9"/>
      <c r="I63" s="9"/>
      <c r="J63" s="9"/>
      <c r="K63" s="9"/>
      <c r="L63" s="9"/>
      <c r="M63" s="9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23</v>
      </c>
      <c r="B64" s="12"/>
      <c r="C64" s="12"/>
      <c r="D64" s="12"/>
      <c r="E64" s="12"/>
      <c r="F64" s="12"/>
      <c r="G64" s="12"/>
      <c r="H64" s="9"/>
      <c r="I64" s="9"/>
      <c r="J64" s="9"/>
      <c r="K64" s="9"/>
      <c r="L64" s="9"/>
      <c r="M64" s="9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43567</v>
      </c>
      <c r="B65" s="12">
        <v>2000</v>
      </c>
      <c r="C65" s="12"/>
      <c r="D65" s="12"/>
      <c r="E65" s="12"/>
      <c r="F65" s="12"/>
      <c r="G65" s="12"/>
      <c r="H65" s="23">
        <f>SUM(B65:G65)</f>
        <v>2000</v>
      </c>
      <c r="I65" s="9"/>
      <c r="J65" s="9">
        <v>180</v>
      </c>
      <c r="K65" s="9"/>
      <c r="L65" s="9">
        <f>SUM(I65:K65)</f>
        <v>180</v>
      </c>
      <c r="M65" s="24">
        <f>H65-L65</f>
        <v>1820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8" t="s">
        <v>48</v>
      </c>
      <c r="B66" s="26"/>
      <c r="C66" s="29"/>
      <c r="D66" s="29"/>
      <c r="E66" s="29"/>
      <c r="F66" s="30"/>
      <c r="G66" s="29"/>
      <c r="H66" s="29"/>
      <c r="I66" s="29"/>
      <c r="J66" s="29"/>
      <c r="K66" s="29"/>
      <c r="L66" s="29"/>
      <c r="M66" s="2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49</v>
      </c>
      <c r="B67" s="12"/>
      <c r="F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23</v>
      </c>
      <c r="B68" s="12"/>
      <c r="F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43535</v>
      </c>
      <c r="B69" s="11">
        <v>2000</v>
      </c>
      <c r="C69" s="11"/>
      <c r="D69" s="11"/>
      <c r="E69" s="11"/>
      <c r="F69" s="11"/>
      <c r="G69" s="11"/>
      <c r="H69" s="7">
        <f>B69+C69+D69+E69+F69+G69</f>
        <v>2000</v>
      </c>
      <c r="I69" s="7"/>
      <c r="J69" s="7">
        <v>180</v>
      </c>
      <c r="K69" s="7">
        <v>120</v>
      </c>
      <c r="L69" s="9">
        <f>SUM(I69:K69)</f>
        <v>300</v>
      </c>
      <c r="M69" s="20">
        <f>H69-L69</f>
        <v>1700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28" t="s">
        <v>50</v>
      </c>
      <c r="B70" s="26"/>
      <c r="C70" s="29"/>
      <c r="D70" s="29"/>
      <c r="E70" s="29"/>
      <c r="F70" s="30"/>
      <c r="G70" s="29"/>
      <c r="H70" s="29"/>
      <c r="I70" s="29"/>
      <c r="J70" s="29"/>
      <c r="K70" s="29"/>
      <c r="L70" s="29"/>
      <c r="M70" s="2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3" t="s">
        <v>51</v>
      </c>
      <c r="B71" s="12"/>
      <c r="F71" s="13"/>
      <c r="M71" s="1"/>
      <c r="N71" s="1"/>
    </row>
    <row r="72" spans="1:33" ht="15.75" customHeight="1" x14ac:dyDescent="0.25">
      <c r="A72" s="5" t="s">
        <v>52</v>
      </c>
      <c r="B72" s="12"/>
      <c r="F72" s="13"/>
      <c r="M72" s="1"/>
      <c r="N72" s="1"/>
    </row>
    <row r="73" spans="1:33" ht="15.75" customHeight="1" x14ac:dyDescent="0.25">
      <c r="A73" s="6">
        <v>43556</v>
      </c>
      <c r="B73" s="11">
        <v>4000</v>
      </c>
      <c r="C73" s="11"/>
      <c r="D73" s="11"/>
      <c r="E73" s="11"/>
      <c r="F73" s="11"/>
      <c r="G73" s="11"/>
      <c r="H73" s="7">
        <f>B73+C73+D73+E73+F73+G73</f>
        <v>4000</v>
      </c>
      <c r="I73" s="7">
        <v>122.32</v>
      </c>
      <c r="J73" s="7">
        <v>440</v>
      </c>
      <c r="K73" s="7"/>
      <c r="L73" s="7">
        <f>I73+J73+K73</f>
        <v>562.31999999999994</v>
      </c>
      <c r="M73" s="20">
        <f>H73-L73</f>
        <v>3437.6800000000003</v>
      </c>
      <c r="N73" s="1"/>
    </row>
    <row r="74" spans="1:33" ht="15.75" customHeight="1" x14ac:dyDescent="0.2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5" spans="1:33" ht="15.75" customHeigh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5"/>
    </row>
    <row r="76" spans="1:33" ht="15.75" customHeight="1" x14ac:dyDescent="0.25">
      <c r="M76" s="32"/>
    </row>
    <row r="77" spans="1:33" ht="15.75" customHeight="1" x14ac:dyDescent="0.25">
      <c r="M77" s="32"/>
    </row>
    <row r="78" spans="1:33" ht="15.75" customHeight="1" x14ac:dyDescent="0.2"/>
    <row r="79" spans="1:33" ht="15.75" customHeight="1" x14ac:dyDescent="0.2"/>
    <row r="80" spans="1:3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A74:N75"/>
    <mergeCell ref="H5:H7"/>
    <mergeCell ref="I5:I7"/>
    <mergeCell ref="B36:B38"/>
    <mergeCell ref="C36:C38"/>
    <mergeCell ref="D36:D38"/>
    <mergeCell ref="E36:E38"/>
    <mergeCell ref="F36:F38"/>
    <mergeCell ref="I36:I38"/>
    <mergeCell ref="B8:M8"/>
    <mergeCell ref="G36:G38"/>
    <mergeCell ref="H36:H38"/>
    <mergeCell ref="J36:J38"/>
    <mergeCell ref="K36:K38"/>
    <mergeCell ref="L36:L38"/>
    <mergeCell ref="M36:M38"/>
  </mergeCells>
  <pageMargins left="0.511811024" right="0.511811024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0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102" t="s">
        <v>3</v>
      </c>
      <c r="C4" s="102" t="s">
        <v>4</v>
      </c>
      <c r="D4" s="99" t="s">
        <v>5</v>
      </c>
      <c r="E4" s="99" t="s">
        <v>6</v>
      </c>
      <c r="F4" s="99" t="s">
        <v>7</v>
      </c>
      <c r="G4" s="102" t="s">
        <v>8</v>
      </c>
      <c r="H4" s="99" t="s">
        <v>9</v>
      </c>
      <c r="I4" s="102" t="s">
        <v>10</v>
      </c>
      <c r="J4" s="102" t="s">
        <v>11</v>
      </c>
      <c r="K4" s="99" t="s">
        <v>12</v>
      </c>
      <c r="L4" s="99" t="s">
        <v>13</v>
      </c>
      <c r="M4" s="99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8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8.75" customHeight="1" x14ac:dyDescent="0.25">
      <c r="A12" s="10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43606</v>
      </c>
      <c r="B13" s="11">
        <v>1400</v>
      </c>
      <c r="C13" s="11"/>
      <c r="D13" s="11"/>
      <c r="E13" s="11"/>
      <c r="F13" s="11"/>
      <c r="G13" s="11"/>
      <c r="H13" s="33">
        <f>SUM(B13:G13)</f>
        <v>1400</v>
      </c>
      <c r="I13" s="33"/>
      <c r="J13" s="33">
        <v>112</v>
      </c>
      <c r="K13" s="33">
        <f>84</f>
        <v>84</v>
      </c>
      <c r="L13" s="33">
        <f>SUM(I13:K13)</f>
        <v>196</v>
      </c>
      <c r="M13" s="33">
        <f>H13-L13</f>
        <v>1204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58</v>
      </c>
      <c r="B14" s="12"/>
      <c r="C14" s="34"/>
      <c r="D14" s="34"/>
      <c r="E14" s="34"/>
      <c r="F14" s="35"/>
      <c r="G14" s="34"/>
      <c r="H14" s="36"/>
      <c r="I14" s="36"/>
      <c r="J14" s="36"/>
      <c r="K14" s="36"/>
      <c r="L14" s="36"/>
      <c r="M14" s="36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59</v>
      </c>
      <c r="B15" s="12"/>
      <c r="C15" s="34"/>
      <c r="D15" s="34"/>
      <c r="E15" s="34"/>
      <c r="F15" s="35"/>
      <c r="G15" s="34"/>
      <c r="H15" s="36"/>
      <c r="I15" s="36"/>
      <c r="J15" s="36"/>
      <c r="K15" s="36"/>
      <c r="L15" s="36"/>
      <c r="M15" s="36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43623</v>
      </c>
      <c r="B16" s="11">
        <v>2000</v>
      </c>
      <c r="C16" s="11"/>
      <c r="D16" s="11"/>
      <c r="E16" s="11"/>
      <c r="F16" s="11"/>
      <c r="G16" s="11"/>
      <c r="H16" s="33">
        <f>SUM(B16:G16)</f>
        <v>2000</v>
      </c>
      <c r="I16" s="33"/>
      <c r="J16" s="33">
        <v>180</v>
      </c>
      <c r="K16" s="33">
        <f>120</f>
        <v>120</v>
      </c>
      <c r="L16" s="33">
        <f>SUM(I16:K16)</f>
        <v>300</v>
      </c>
      <c r="M16" s="33">
        <f>H16-L16</f>
        <v>1700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22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23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43507</v>
      </c>
      <c r="B19" s="11">
        <v>2000</v>
      </c>
      <c r="C19" s="11"/>
      <c r="D19" s="11"/>
      <c r="E19" s="11"/>
      <c r="F19" s="11"/>
      <c r="G19" s="11"/>
      <c r="H19" s="33">
        <f>B19+C19+D19+E19+F19+G19</f>
        <v>2000</v>
      </c>
      <c r="I19" s="33"/>
      <c r="J19" s="33">
        <v>180</v>
      </c>
      <c r="K19" s="33">
        <f>120</f>
        <v>120</v>
      </c>
      <c r="L19" s="33">
        <f>I19+J19+K19</f>
        <v>300</v>
      </c>
      <c r="M19" s="33">
        <f>H19-L19</f>
        <v>1700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8" t="s">
        <v>24</v>
      </c>
      <c r="B20" s="12"/>
      <c r="C20" s="12"/>
      <c r="D20" s="12"/>
      <c r="E20" s="12"/>
      <c r="F20" s="12"/>
      <c r="G20" s="12"/>
      <c r="H20" s="23"/>
      <c r="I20" s="23"/>
      <c r="J20" s="23"/>
      <c r="K20" s="23"/>
      <c r="L20" s="23"/>
      <c r="M20" s="23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0" t="s">
        <v>21</v>
      </c>
      <c r="B21" s="12"/>
      <c r="C21" s="12"/>
      <c r="D21" s="12"/>
      <c r="E21" s="12"/>
      <c r="F21" s="12"/>
      <c r="G21" s="12"/>
      <c r="H21" s="23"/>
      <c r="I21" s="23"/>
      <c r="J21" s="23"/>
      <c r="K21" s="23"/>
      <c r="L21" s="23"/>
      <c r="M21" s="23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43606</v>
      </c>
      <c r="B22" s="11">
        <v>1400</v>
      </c>
      <c r="C22" s="11"/>
      <c r="D22" s="11"/>
      <c r="E22" s="11"/>
      <c r="F22" s="11"/>
      <c r="G22" s="11"/>
      <c r="H22" s="33">
        <f>B22+C22+D22+E22+F22+G22</f>
        <v>1400</v>
      </c>
      <c r="I22" s="33"/>
      <c r="J22" s="33">
        <v>112</v>
      </c>
      <c r="K22" s="33">
        <f>84</f>
        <v>84</v>
      </c>
      <c r="L22" s="33">
        <f>I22+J22+K22</f>
        <v>196</v>
      </c>
      <c r="M22" s="33">
        <f>H22-L22</f>
        <v>1204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3" t="s">
        <v>25</v>
      </c>
      <c r="B23" s="12"/>
      <c r="C23" s="34"/>
      <c r="D23" s="34"/>
      <c r="E23" s="34"/>
      <c r="F23" s="35"/>
      <c r="G23" s="34"/>
      <c r="H23" s="36"/>
      <c r="I23" s="36"/>
      <c r="J23" s="36"/>
      <c r="K23" s="36"/>
      <c r="L23" s="36"/>
      <c r="M23" s="36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26</v>
      </c>
      <c r="B24" s="12"/>
      <c r="C24" s="34"/>
      <c r="D24" s="34"/>
      <c r="E24" s="34"/>
      <c r="F24" s="35"/>
      <c r="G24" s="34"/>
      <c r="H24" s="36"/>
      <c r="I24" s="36"/>
      <c r="J24" s="36"/>
      <c r="K24" s="36"/>
      <c r="L24" s="36"/>
      <c r="M24" s="36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43507</v>
      </c>
      <c r="B25" s="11">
        <v>6000</v>
      </c>
      <c r="C25" s="11"/>
      <c r="D25" s="11"/>
      <c r="E25" s="11"/>
      <c r="F25" s="11"/>
      <c r="G25" s="11"/>
      <c r="H25" s="33">
        <f>B25+C25+D25+E25+F25+G25</f>
        <v>6000</v>
      </c>
      <c r="I25" s="33">
        <v>604</v>
      </c>
      <c r="J25" s="33">
        <v>642.33000000000004</v>
      </c>
      <c r="K25" s="33"/>
      <c r="L25" s="33">
        <f>I25+J25+K25</f>
        <v>1246.33</v>
      </c>
      <c r="M25" s="33">
        <f>H25-L25</f>
        <v>4753.67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27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28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499.72</v>
      </c>
      <c r="J28" s="33">
        <v>642.33000000000004</v>
      </c>
      <c r="K28" s="33"/>
      <c r="L28" s="33">
        <f>I28+J28+K28</f>
        <v>1142.0500000000002</v>
      </c>
      <c r="M28" s="33">
        <f>H28-L28</f>
        <v>4857.95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61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59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43678</v>
      </c>
      <c r="B31" s="11">
        <v>2000</v>
      </c>
      <c r="C31" s="11"/>
      <c r="D31" s="11"/>
      <c r="E31" s="11"/>
      <c r="F31" s="11"/>
      <c r="G31" s="11"/>
      <c r="H31" s="33">
        <f>B31+C31+D31+E31+F31+G31</f>
        <v>2000</v>
      </c>
      <c r="I31" s="33">
        <v>0</v>
      </c>
      <c r="J31" s="33">
        <v>180</v>
      </c>
      <c r="K31" s="33">
        <f>120+120</f>
        <v>240</v>
      </c>
      <c r="L31" s="33">
        <f>I31+J31+K31</f>
        <v>420</v>
      </c>
      <c r="M31" s="33">
        <f>H31-L31</f>
        <v>1580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62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5" t="s">
        <v>59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43703</v>
      </c>
      <c r="B34" s="11">
        <v>280</v>
      </c>
      <c r="C34" s="11"/>
      <c r="D34" s="11"/>
      <c r="E34" s="11"/>
      <c r="F34" s="11"/>
      <c r="G34" s="11"/>
      <c r="H34" s="33">
        <f>B34+C34+D34+E34+F34+G34</f>
        <v>280</v>
      </c>
      <c r="I34" s="33">
        <v>0</v>
      </c>
      <c r="J34" s="33">
        <v>22.4</v>
      </c>
      <c r="K34" s="33">
        <f>84+16.8</f>
        <v>100.8</v>
      </c>
      <c r="L34" s="33">
        <f>I34+J34+K34</f>
        <v>123.19999999999999</v>
      </c>
      <c r="M34" s="33">
        <f>H34-L34</f>
        <v>156.80000000000001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29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30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43507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700.79</v>
      </c>
      <c r="J37" s="33">
        <v>290.38</v>
      </c>
      <c r="K37" s="33"/>
      <c r="L37" s="33">
        <f>I37+J37+K37</f>
        <v>991.17</v>
      </c>
      <c r="M37" s="33">
        <f>H37-L37</f>
        <v>5008.83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31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customHeight="1" x14ac:dyDescent="0.25">
      <c r="A40" s="94">
        <v>43507</v>
      </c>
      <c r="B40" s="95">
        <v>7000</v>
      </c>
      <c r="C40" s="95"/>
      <c r="D40" s="95"/>
      <c r="E40" s="95"/>
      <c r="F40" s="95"/>
      <c r="G40" s="95"/>
      <c r="H40" s="33">
        <f>B40+C40+D40+E40+F40+G40</f>
        <v>7000</v>
      </c>
      <c r="I40" s="33">
        <v>774.72</v>
      </c>
      <c r="J40" s="33">
        <v>642.33000000000004</v>
      </c>
      <c r="K40" s="33"/>
      <c r="L40" s="33">
        <f>I40+J40+K40</f>
        <v>1417.0500000000002</v>
      </c>
      <c r="M40" s="33">
        <f>H40-L40</f>
        <v>5582.95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4" t="s">
        <v>2</v>
      </c>
      <c r="B41" s="102" t="s">
        <v>3</v>
      </c>
      <c r="C41" s="102" t="s">
        <v>4</v>
      </c>
      <c r="D41" s="99" t="s">
        <v>5</v>
      </c>
      <c r="E41" s="99" t="s">
        <v>6</v>
      </c>
      <c r="F41" s="99" t="s">
        <v>7</v>
      </c>
      <c r="G41" s="102" t="s">
        <v>8</v>
      </c>
      <c r="H41" s="99" t="s">
        <v>9</v>
      </c>
      <c r="I41" s="102" t="s">
        <v>10</v>
      </c>
      <c r="J41" s="102" t="s">
        <v>11</v>
      </c>
      <c r="K41" s="99" t="s">
        <v>12</v>
      </c>
      <c r="L41" s="99" t="s">
        <v>13</v>
      </c>
      <c r="M41" s="99" t="s">
        <v>14</v>
      </c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15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3" t="s">
        <v>16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5" t="s">
        <v>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7" t="s">
        <v>34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5" t="s">
        <v>35</v>
      </c>
      <c r="B46" s="12"/>
      <c r="C46" s="12"/>
      <c r="D46" s="12"/>
      <c r="E46" s="12"/>
      <c r="F46" s="12"/>
      <c r="G46" s="12"/>
      <c r="H46" s="23"/>
      <c r="I46" s="23"/>
      <c r="J46" s="23"/>
      <c r="K46" s="23"/>
      <c r="L46" s="23"/>
      <c r="M46" s="23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6">
        <v>43525</v>
      </c>
      <c r="B47" s="11">
        <v>6000</v>
      </c>
      <c r="C47" s="11"/>
      <c r="D47" s="11"/>
      <c r="E47" s="11"/>
      <c r="F47" s="11"/>
      <c r="G47" s="11"/>
      <c r="H47" s="33">
        <f>SUM(B47:G47)</f>
        <v>6000</v>
      </c>
      <c r="I47" s="33">
        <v>551.86</v>
      </c>
      <c r="J47" s="33">
        <v>642.33000000000004</v>
      </c>
      <c r="K47" s="33"/>
      <c r="L47" s="33">
        <f>SUM(I47:K47)</f>
        <v>1194.19</v>
      </c>
      <c r="M47" s="33">
        <f>H47-L47</f>
        <v>4805.8099999999995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36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23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33">
        <v>2000</v>
      </c>
      <c r="C50" s="11"/>
      <c r="D50" s="11"/>
      <c r="E50" s="11"/>
      <c r="F50" s="11"/>
      <c r="G50" s="11"/>
      <c r="H50" s="33">
        <f>B50+C50+D50+E50+F50+G50</f>
        <v>2000</v>
      </c>
      <c r="I50" s="33"/>
      <c r="J50" s="33">
        <v>180</v>
      </c>
      <c r="K50" s="33">
        <f>120</f>
        <v>120</v>
      </c>
      <c r="L50" s="33">
        <f>I50+J50+K50</f>
        <v>300</v>
      </c>
      <c r="M50" s="33">
        <f>H50-L50</f>
        <v>1700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37</v>
      </c>
      <c r="B51" s="23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38</v>
      </c>
      <c r="B52" s="23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43507</v>
      </c>
      <c r="B53" s="33">
        <v>1400</v>
      </c>
      <c r="C53" s="11"/>
      <c r="D53" s="11"/>
      <c r="E53" s="11"/>
      <c r="F53" s="11"/>
      <c r="G53" s="11"/>
      <c r="H53" s="33">
        <f>B53+C53+D53+E53+F53+G53</f>
        <v>1400</v>
      </c>
      <c r="I53" s="33"/>
      <c r="J53" s="33">
        <v>112</v>
      </c>
      <c r="K53" s="33">
        <f>84</f>
        <v>84</v>
      </c>
      <c r="L53" s="33">
        <f>I53+J53+K53</f>
        <v>196</v>
      </c>
      <c r="M53" s="33">
        <f>H53-L53</f>
        <v>1204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39</v>
      </c>
      <c r="B54" s="23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40</v>
      </c>
      <c r="B55" s="23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3800</v>
      </c>
      <c r="C56" s="11"/>
      <c r="D56" s="11"/>
      <c r="E56" s="11"/>
      <c r="F56" s="11"/>
      <c r="G56" s="11"/>
      <c r="H56" s="33">
        <f>B56+C56+D56+E56+F56+G56</f>
        <v>3800</v>
      </c>
      <c r="I56" s="33">
        <v>95.62</v>
      </c>
      <c r="J56" s="33">
        <v>418</v>
      </c>
      <c r="K56" s="33"/>
      <c r="L56" s="33">
        <f>I56+J56+K56</f>
        <v>513.62</v>
      </c>
      <c r="M56" s="33">
        <f>H56-L56</f>
        <v>3286.38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8" t="s">
        <v>41</v>
      </c>
      <c r="B57" s="23"/>
      <c r="C57" s="12"/>
      <c r="D57" s="12"/>
      <c r="E57" s="12"/>
      <c r="F57" s="12"/>
      <c r="G57" s="12"/>
      <c r="H57" s="23"/>
      <c r="I57" s="23"/>
      <c r="J57" s="23"/>
      <c r="K57" s="23"/>
      <c r="L57" s="23"/>
      <c r="M57" s="23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0" t="s">
        <v>38</v>
      </c>
      <c r="B58" s="23"/>
      <c r="C58" s="12"/>
      <c r="D58" s="12"/>
      <c r="E58" s="12"/>
      <c r="F58" s="12"/>
      <c r="G58" s="12"/>
      <c r="H58" s="23"/>
      <c r="I58" s="23"/>
      <c r="J58" s="23"/>
      <c r="K58" s="23"/>
      <c r="L58" s="23"/>
      <c r="M58" s="23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0">
        <v>43557</v>
      </c>
      <c r="B59" s="23">
        <v>1400</v>
      </c>
      <c r="C59" s="12"/>
      <c r="D59" s="12"/>
      <c r="E59" s="12"/>
      <c r="F59" s="12"/>
      <c r="G59" s="12"/>
      <c r="H59" s="23">
        <f>SUM(B59:G59)</f>
        <v>1400</v>
      </c>
      <c r="I59" s="23"/>
      <c r="J59" s="23">
        <v>112</v>
      </c>
      <c r="K59" s="23">
        <v>84</v>
      </c>
      <c r="L59" s="23">
        <f>I59+J59+K59</f>
        <v>196</v>
      </c>
      <c r="M59" s="2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25" t="s">
        <v>42</v>
      </c>
      <c r="B60" s="37"/>
      <c r="C60" s="26"/>
      <c r="D60" s="26"/>
      <c r="E60" s="26"/>
      <c r="F60" s="26"/>
      <c r="G60" s="26"/>
      <c r="H60" s="37"/>
      <c r="I60" s="37"/>
      <c r="J60" s="37"/>
      <c r="K60" s="37"/>
      <c r="L60" s="37"/>
      <c r="M60" s="37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3" t="s">
        <v>63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38</v>
      </c>
      <c r="B62" s="23"/>
      <c r="C62" s="34"/>
      <c r="D62" s="34"/>
      <c r="E62" s="34"/>
      <c r="F62" s="35"/>
      <c r="G62" s="34"/>
      <c r="H62" s="36"/>
      <c r="I62" s="36"/>
      <c r="J62" s="36"/>
      <c r="K62" s="36"/>
      <c r="L62" s="36"/>
      <c r="M62" s="36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43697</v>
      </c>
      <c r="B63" s="33">
        <v>600</v>
      </c>
      <c r="C63" s="11"/>
      <c r="D63" s="11"/>
      <c r="E63" s="11"/>
      <c r="F63" s="11"/>
      <c r="G63" s="11"/>
      <c r="H63" s="33">
        <f>SUM(B63:G63)</f>
        <v>600</v>
      </c>
      <c r="I63" s="33"/>
      <c r="J63" s="33">
        <v>48</v>
      </c>
      <c r="K63" s="33">
        <v>0</v>
      </c>
      <c r="L63" s="33">
        <f>I63+J63+K63</f>
        <v>48</v>
      </c>
      <c r="M63" s="33">
        <f>H63-L63</f>
        <v>552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43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44</v>
      </c>
      <c r="B65" s="23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33">
        <v>3000</v>
      </c>
      <c r="C66" s="11"/>
      <c r="D66" s="11"/>
      <c r="E66" s="11"/>
      <c r="F66" s="11"/>
      <c r="G66" s="11"/>
      <c r="H66" s="33">
        <f>B66+C66+D66+E66+F66+G66</f>
        <v>3000</v>
      </c>
      <c r="I66" s="33">
        <v>29.01</v>
      </c>
      <c r="J66" s="33">
        <v>330</v>
      </c>
      <c r="K66" s="33"/>
      <c r="L66" s="33">
        <f>I66+J66+K66</f>
        <v>359.01</v>
      </c>
      <c r="M66" s="33">
        <f>H66-L66</f>
        <v>2640.99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45</v>
      </c>
      <c r="B67" s="37"/>
      <c r="C67" s="38"/>
      <c r="D67" s="38"/>
      <c r="E67" s="38"/>
      <c r="F67" s="39"/>
      <c r="G67" s="38"/>
      <c r="H67" s="40"/>
      <c r="I67" s="40"/>
      <c r="J67" s="40"/>
      <c r="K67" s="40"/>
      <c r="L67" s="40"/>
      <c r="M67" s="40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46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44</v>
      </c>
      <c r="B69" s="23"/>
      <c r="C69" s="34"/>
      <c r="D69" s="34"/>
      <c r="E69" s="34"/>
      <c r="F69" s="35"/>
      <c r="G69" s="34"/>
      <c r="H69" s="36"/>
      <c r="I69" s="36"/>
      <c r="J69" s="36"/>
      <c r="K69" s="36"/>
      <c r="L69" s="36"/>
      <c r="M69" s="36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43535</v>
      </c>
      <c r="B70" s="33">
        <v>3000</v>
      </c>
      <c r="C70" s="11"/>
      <c r="D70" s="11"/>
      <c r="E70" s="11"/>
      <c r="F70" s="11"/>
      <c r="G70" s="11"/>
      <c r="H70" s="33">
        <f>B70+C70+D70+E70+F70+G70</f>
        <v>3000</v>
      </c>
      <c r="I70" s="33">
        <v>43.23</v>
      </c>
      <c r="J70" s="33">
        <v>330</v>
      </c>
      <c r="K70" s="33"/>
      <c r="L70" s="33">
        <f>I70+J70+K70</f>
        <v>373.23</v>
      </c>
      <c r="M70" s="33">
        <f>H70-L70</f>
        <v>2626.77</v>
      </c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8" t="s">
        <v>47</v>
      </c>
      <c r="B71" s="23"/>
      <c r="C71" s="12"/>
      <c r="D71" s="12"/>
      <c r="E71" s="12"/>
      <c r="F71" s="12"/>
      <c r="G71" s="12"/>
      <c r="H71" s="23"/>
      <c r="I71" s="23"/>
      <c r="J71" s="23"/>
      <c r="K71" s="23"/>
      <c r="L71" s="23"/>
      <c r="M71" s="23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0" t="s">
        <v>23</v>
      </c>
      <c r="B72" s="23"/>
      <c r="C72" s="12"/>
      <c r="D72" s="12"/>
      <c r="E72" s="12"/>
      <c r="F72" s="12"/>
      <c r="G72" s="12"/>
      <c r="H72" s="23"/>
      <c r="I72" s="23"/>
      <c r="J72" s="23"/>
      <c r="K72" s="23"/>
      <c r="L72" s="23"/>
      <c r="M72" s="23"/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0">
        <v>43567</v>
      </c>
      <c r="B73" s="23">
        <v>2000</v>
      </c>
      <c r="C73" s="12"/>
      <c r="D73" s="12"/>
      <c r="E73" s="12"/>
      <c r="F73" s="12"/>
      <c r="G73" s="12"/>
      <c r="H73" s="23">
        <f>SUM(B73:G73)</f>
        <v>2000</v>
      </c>
      <c r="I73" s="23"/>
      <c r="J73" s="23">
        <v>180</v>
      </c>
      <c r="K73" s="23"/>
      <c r="L73" s="23">
        <f>SUM(I73:K73)</f>
        <v>180</v>
      </c>
      <c r="M73" s="23">
        <f>H73-L73</f>
        <v>1820</v>
      </c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28" t="s">
        <v>48</v>
      </c>
      <c r="B74" s="37"/>
      <c r="C74" s="38"/>
      <c r="D74" s="38"/>
      <c r="E74" s="38"/>
      <c r="F74" s="39"/>
      <c r="G74" s="38"/>
      <c r="H74" s="39"/>
      <c r="I74" s="39"/>
      <c r="J74" s="39"/>
      <c r="K74" s="39"/>
      <c r="L74" s="39"/>
      <c r="M74" s="3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3" t="s">
        <v>49</v>
      </c>
      <c r="B75" s="23"/>
      <c r="C75" s="34"/>
      <c r="D75" s="34"/>
      <c r="E75" s="34"/>
      <c r="F75" s="35"/>
      <c r="G75" s="34"/>
      <c r="H75" s="35"/>
      <c r="I75" s="35"/>
      <c r="J75" s="35"/>
      <c r="K75" s="35"/>
      <c r="L75" s="35"/>
      <c r="M75" s="3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5" t="s">
        <v>23</v>
      </c>
      <c r="B76" s="23"/>
      <c r="C76" s="34"/>
      <c r="D76" s="34"/>
      <c r="E76" s="34"/>
      <c r="F76" s="35"/>
      <c r="G76" s="34"/>
      <c r="H76" s="35"/>
      <c r="I76" s="35"/>
      <c r="J76" s="35"/>
      <c r="K76" s="35"/>
      <c r="L76" s="35"/>
      <c r="M76" s="3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6">
        <v>43535</v>
      </c>
      <c r="B77" s="33">
        <v>2000</v>
      </c>
      <c r="C77" s="11"/>
      <c r="D77" s="11"/>
      <c r="E77" s="11"/>
      <c r="F77" s="11"/>
      <c r="G77" s="11"/>
      <c r="H77" s="33">
        <f>B77+C77+D77+E77+F77+G77</f>
        <v>2000</v>
      </c>
      <c r="I77" s="33"/>
      <c r="J77" s="33">
        <v>180</v>
      </c>
      <c r="K77" s="33">
        <v>0</v>
      </c>
      <c r="L77" s="23">
        <f>SUM(I77:K77)</f>
        <v>180</v>
      </c>
      <c r="M77" s="33">
        <f>H77-L77</f>
        <v>1820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28" t="s">
        <v>50</v>
      </c>
      <c r="B78" s="37"/>
      <c r="C78" s="38"/>
      <c r="D78" s="38"/>
      <c r="E78" s="38"/>
      <c r="F78" s="39"/>
      <c r="G78" s="38"/>
      <c r="H78" s="39"/>
      <c r="I78" s="39"/>
      <c r="J78" s="39"/>
      <c r="K78" s="39"/>
      <c r="L78" s="39"/>
      <c r="M78" s="3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3" t="s">
        <v>51</v>
      </c>
      <c r="B79" s="23"/>
      <c r="C79" s="34"/>
      <c r="D79" s="34"/>
      <c r="E79" s="34"/>
      <c r="F79" s="35"/>
      <c r="G79" s="34"/>
      <c r="H79" s="35"/>
      <c r="I79" s="35"/>
      <c r="J79" s="35"/>
      <c r="K79" s="35"/>
      <c r="L79" s="35"/>
      <c r="M79" s="3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5" t="s">
        <v>52</v>
      </c>
      <c r="B80" s="23"/>
      <c r="C80" s="34"/>
      <c r="D80" s="34"/>
      <c r="E80" s="34"/>
      <c r="F80" s="35"/>
      <c r="G80" s="34"/>
      <c r="H80" s="35"/>
      <c r="I80" s="35"/>
      <c r="J80" s="35"/>
      <c r="K80" s="35"/>
      <c r="L80" s="35"/>
      <c r="M80" s="3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4">
        <v>43556</v>
      </c>
      <c r="B81" s="96">
        <v>4000</v>
      </c>
      <c r="C81" s="95"/>
      <c r="D81" s="95"/>
      <c r="E81" s="95"/>
      <c r="F81" s="95"/>
      <c r="G81" s="95"/>
      <c r="H81" s="96">
        <f>B81+C81+D81+E81+F81+G81</f>
        <v>4000</v>
      </c>
      <c r="I81" s="96">
        <v>122.32</v>
      </c>
      <c r="J81" s="96">
        <v>440</v>
      </c>
      <c r="K81" s="96"/>
      <c r="L81" s="96">
        <f>I81+J81+K81</f>
        <v>562.31999999999994</v>
      </c>
      <c r="M81" s="96">
        <f>H81-L81</f>
        <v>3437.6800000000003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1" t="s">
        <v>2</v>
      </c>
      <c r="B82" s="111" t="s">
        <v>3</v>
      </c>
      <c r="C82" s="111" t="s">
        <v>4</v>
      </c>
      <c r="D82" s="110" t="s">
        <v>5</v>
      </c>
      <c r="E82" s="110" t="s">
        <v>6</v>
      </c>
      <c r="F82" s="110" t="s">
        <v>7</v>
      </c>
      <c r="G82" s="111" t="s">
        <v>8</v>
      </c>
      <c r="H82" s="110" t="s">
        <v>9</v>
      </c>
      <c r="I82" s="111" t="s">
        <v>10</v>
      </c>
      <c r="J82" s="111" t="s">
        <v>11</v>
      </c>
      <c r="K82" s="110" t="s">
        <v>12</v>
      </c>
      <c r="L82" s="110" t="s">
        <v>13</v>
      </c>
      <c r="M82" s="110" t="s">
        <v>14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0" t="s">
        <v>15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3" t="s">
        <v>16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41" t="s">
        <v>64</v>
      </c>
      <c r="B85" s="42"/>
      <c r="C85" s="43"/>
      <c r="D85" s="43"/>
      <c r="E85" s="43"/>
      <c r="F85" s="44"/>
      <c r="G85" s="43"/>
      <c r="H85" s="44"/>
      <c r="I85" s="44"/>
      <c r="J85" s="44"/>
      <c r="K85" s="44"/>
      <c r="L85" s="44"/>
      <c r="M85" s="4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65</v>
      </c>
      <c r="B86" s="23"/>
      <c r="C86" s="34"/>
      <c r="D86" s="34"/>
      <c r="E86" s="34"/>
      <c r="F86" s="35"/>
      <c r="G86" s="34"/>
      <c r="H86" s="35"/>
      <c r="I86" s="35"/>
      <c r="J86" s="35"/>
      <c r="K86" s="35"/>
      <c r="L86" s="35"/>
      <c r="M86" s="3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0" t="s">
        <v>23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45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43697</v>
      </c>
      <c r="B88" s="33">
        <v>800</v>
      </c>
      <c r="C88" s="11"/>
      <c r="D88" s="11"/>
      <c r="E88" s="11"/>
      <c r="F88" s="11"/>
      <c r="G88" s="11"/>
      <c r="H88" s="33">
        <f>B88+C88+D88+E88+F88+G88</f>
        <v>800</v>
      </c>
      <c r="I88" s="33">
        <v>0</v>
      </c>
      <c r="J88" s="33">
        <v>64</v>
      </c>
      <c r="K88" s="33"/>
      <c r="L88" s="33">
        <f>I88+J88+K88</f>
        <v>64</v>
      </c>
      <c r="M88" s="46">
        <f>H88-L88</f>
        <v>736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1:G43"/>
    <mergeCell ref="H41:H43"/>
    <mergeCell ref="J41:J43"/>
    <mergeCell ref="K41:K43"/>
    <mergeCell ref="L41:L43"/>
    <mergeCell ref="M41:M43"/>
    <mergeCell ref="C41:C43"/>
    <mergeCell ref="D41:D43"/>
    <mergeCell ref="E41:E43"/>
    <mergeCell ref="F41:F43"/>
    <mergeCell ref="I41:I43"/>
    <mergeCell ref="M82:M84"/>
    <mergeCell ref="B41:B43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</mergeCells>
  <pageMargins left="0.51181102362204722" right="0.51181102362204722" top="0.78740157480314965" bottom="0.78740157480314965" header="0" footer="0"/>
  <pageSetup paperSize="9" orientation="landscape"/>
  <rowBreaks count="2" manualBreakCount="2">
    <brk id="40" man="1"/>
    <brk id="8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0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66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102" t="s">
        <v>3</v>
      </c>
      <c r="C4" s="102" t="s">
        <v>4</v>
      </c>
      <c r="D4" s="99" t="s">
        <v>5</v>
      </c>
      <c r="E4" s="99" t="s">
        <v>6</v>
      </c>
      <c r="F4" s="99" t="s">
        <v>7</v>
      </c>
      <c r="G4" s="102" t="s">
        <v>8</v>
      </c>
      <c r="H4" s="99" t="s">
        <v>9</v>
      </c>
      <c r="I4" s="102" t="s">
        <v>10</v>
      </c>
      <c r="J4" s="102" t="s">
        <v>11</v>
      </c>
      <c r="K4" s="99" t="s">
        <v>12</v>
      </c>
      <c r="L4" s="99" t="s">
        <v>13</v>
      </c>
      <c r="M4" s="99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1933.33</v>
      </c>
      <c r="C13" s="33"/>
      <c r="D13" s="33"/>
      <c r="E13" s="33"/>
      <c r="F13" s="33"/>
      <c r="G13" s="33">
        <v>483.33</v>
      </c>
      <c r="H13" s="33">
        <f>SUM(B13:G13)</f>
        <v>2416.66</v>
      </c>
      <c r="I13" s="33">
        <v>22.14</v>
      </c>
      <c r="J13" s="33">
        <v>217.49</v>
      </c>
      <c r="K13" s="33">
        <f>120+116</f>
        <v>236</v>
      </c>
      <c r="L13" s="33">
        <f>SUM(I13:K13)</f>
        <v>475.63</v>
      </c>
      <c r="M13" s="33">
        <f>H13-L13</f>
        <v>1941.0299999999997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f>2900+46.67</f>
        <v>2946.67</v>
      </c>
      <c r="C16" s="11"/>
      <c r="D16" s="11"/>
      <c r="E16" s="11"/>
      <c r="F16" s="11"/>
      <c r="G16" s="11"/>
      <c r="H16" s="33">
        <f>SUM(B16:G16)</f>
        <v>2946.67</v>
      </c>
      <c r="I16" s="33">
        <v>53.89</v>
      </c>
      <c r="J16" s="33">
        <v>324.13</v>
      </c>
      <c r="K16" s="33">
        <v>180</v>
      </c>
      <c r="L16" s="33">
        <f>SUM(I16:K16)</f>
        <v>558.02</v>
      </c>
      <c r="M16" s="33">
        <f>H16-L16</f>
        <v>2388.65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483.33</v>
      </c>
      <c r="H19" s="33">
        <f>SUM(B19:G19)</f>
        <v>2483.33</v>
      </c>
      <c r="I19" s="33">
        <v>26.69</v>
      </c>
      <c r="J19" s="33">
        <v>223.49</v>
      </c>
      <c r="K19" s="33">
        <v>120</v>
      </c>
      <c r="L19" s="33">
        <f>SUM(I19:K19)</f>
        <v>370.18</v>
      </c>
      <c r="M19" s="33">
        <f>H19-L19</f>
        <v>2113.15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483.33</v>
      </c>
      <c r="H22" s="33">
        <f>B22+C22+D22+E22+F22+G22</f>
        <v>2483.33</v>
      </c>
      <c r="I22" s="33"/>
      <c r="J22" s="33">
        <v>223.49</v>
      </c>
      <c r="K22" s="33">
        <f>120</f>
        <v>120</v>
      </c>
      <c r="L22" s="33">
        <f>I22+J22+K22</f>
        <v>343.49</v>
      </c>
      <c r="M22" s="33">
        <f>H22-L22</f>
        <v>2139.84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70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f>2126.67+46.67</f>
        <v>2173.34</v>
      </c>
      <c r="C25" s="11"/>
      <c r="D25" s="11"/>
      <c r="E25" s="11"/>
      <c r="F25" s="11"/>
      <c r="G25" s="11"/>
      <c r="H25" s="33">
        <f>B25+C25+D25+E25+F25+G25</f>
        <v>2173.34</v>
      </c>
      <c r="I25" s="33"/>
      <c r="J25" s="33">
        <v>195.6</v>
      </c>
      <c r="K25" s="33">
        <v>132</v>
      </c>
      <c r="L25" s="33">
        <f>I25+J25+K25</f>
        <v>327.60000000000002</v>
      </c>
      <c r="M25" s="33">
        <f>H25-L25</f>
        <v>1845.7400000000002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f>5400+200</f>
        <v>5600</v>
      </c>
      <c r="C34" s="11"/>
      <c r="D34" s="11"/>
      <c r="E34" s="11"/>
      <c r="F34" s="11"/>
      <c r="G34" s="11"/>
      <c r="H34" s="33">
        <f>B34+C34+D34+E34+F34+G34</f>
        <v>5600</v>
      </c>
      <c r="I34" s="33">
        <v>399.95</v>
      </c>
      <c r="J34" s="33">
        <v>616</v>
      </c>
      <c r="K34" s="33">
        <v>230</v>
      </c>
      <c r="L34" s="33">
        <f>I34+J34+K34</f>
        <v>1245.95</v>
      </c>
      <c r="M34" s="33">
        <f>H34-L34</f>
        <v>4354.05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72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1400</v>
      </c>
      <c r="C37" s="11"/>
      <c r="D37" s="11"/>
      <c r="E37" s="11"/>
      <c r="F37" s="11"/>
      <c r="G37" s="11"/>
      <c r="H37" s="33">
        <f>B37+C37+D37+E37+F37+G37</f>
        <v>1400</v>
      </c>
      <c r="I37" s="33"/>
      <c r="J37" s="33">
        <v>112</v>
      </c>
      <c r="K37" s="33">
        <v>84</v>
      </c>
      <c r="L37" s="33">
        <f>I37+J37+K37</f>
        <v>196</v>
      </c>
      <c r="M37" s="33">
        <f>H37-L37</f>
        <v>1204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4">
        <v>43507</v>
      </c>
      <c r="B43" s="95">
        <v>7000</v>
      </c>
      <c r="C43" s="95"/>
      <c r="D43" s="95"/>
      <c r="E43" s="95"/>
      <c r="F43" s="95"/>
      <c r="G43" s="95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4" t="s">
        <v>2</v>
      </c>
      <c r="B44" s="102" t="s">
        <v>3</v>
      </c>
      <c r="C44" s="102" t="s">
        <v>4</v>
      </c>
      <c r="D44" s="99" t="s">
        <v>5</v>
      </c>
      <c r="E44" s="99" t="s">
        <v>6</v>
      </c>
      <c r="F44" s="99" t="s">
        <v>7</v>
      </c>
      <c r="G44" s="102" t="s">
        <v>8</v>
      </c>
      <c r="H44" s="99" t="s">
        <v>9</v>
      </c>
      <c r="I44" s="102" t="s">
        <v>10</v>
      </c>
      <c r="J44" s="102" t="s">
        <v>11</v>
      </c>
      <c r="K44" s="99" t="s">
        <v>12</v>
      </c>
      <c r="L44" s="99" t="s">
        <v>13</v>
      </c>
      <c r="M44" s="99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3" t="s">
        <v>16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5" t="s">
        <v>33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47" t="s">
        <v>73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69</v>
      </c>
      <c r="B49" s="12"/>
      <c r="C49" s="12"/>
      <c r="D49" s="12"/>
      <c r="E49" s="12"/>
      <c r="F49" s="12"/>
      <c r="G49" s="12"/>
      <c r="H49" s="23"/>
      <c r="I49" s="23"/>
      <c r="J49" s="23"/>
      <c r="K49" s="23"/>
      <c r="L49" s="23"/>
      <c r="M49" s="23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43712</v>
      </c>
      <c r="B50" s="11">
        <v>1800</v>
      </c>
      <c r="C50" s="11"/>
      <c r="D50" s="11"/>
      <c r="E50" s="11"/>
      <c r="F50" s="11"/>
      <c r="G50" s="11"/>
      <c r="H50" s="33">
        <f>SUM(B50:G50)</f>
        <v>1800</v>
      </c>
      <c r="I50" s="33"/>
      <c r="J50" s="33">
        <v>162</v>
      </c>
      <c r="K50" s="33">
        <f>120+108</f>
        <v>228</v>
      </c>
      <c r="L50" s="33">
        <f>SUM(I50:K50)</f>
        <v>390</v>
      </c>
      <c r="M50" s="33">
        <f>H50-L50</f>
        <v>1410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7" t="s">
        <v>34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35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43525</v>
      </c>
      <c r="B53" s="11">
        <v>6000</v>
      </c>
      <c r="C53" s="11"/>
      <c r="D53" s="11"/>
      <c r="E53" s="11"/>
      <c r="F53" s="11"/>
      <c r="G53" s="11"/>
      <c r="H53" s="33">
        <f>SUM(B53:G53)</f>
        <v>6000</v>
      </c>
      <c r="I53" s="33">
        <v>551.86</v>
      </c>
      <c r="J53" s="33">
        <v>642.33000000000004</v>
      </c>
      <c r="K53" s="33"/>
      <c r="L53" s="33">
        <f>SUM(I53:K53)</f>
        <v>1194.19</v>
      </c>
      <c r="M53" s="33">
        <f>H53-L53</f>
        <v>4805.8099999999995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36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69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2000</v>
      </c>
      <c r="C56" s="11"/>
      <c r="D56" s="11"/>
      <c r="E56" s="11"/>
      <c r="F56" s="11"/>
      <c r="G56" s="11">
        <v>483.33</v>
      </c>
      <c r="H56" s="33">
        <f>B56+C56+D56+E56+F56+G56</f>
        <v>2483.33</v>
      </c>
      <c r="I56" s="33">
        <v>26.69</v>
      </c>
      <c r="J56" s="33">
        <v>223.49</v>
      </c>
      <c r="K56" s="33">
        <f>120</f>
        <v>120</v>
      </c>
      <c r="L56" s="33">
        <f>I56+J56+K56</f>
        <v>370.18</v>
      </c>
      <c r="M56" s="33">
        <f>H56-L56</f>
        <v>2113.15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37</v>
      </c>
      <c r="B57" s="23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38</v>
      </c>
      <c r="B58" s="23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1400</v>
      </c>
      <c r="C59" s="11"/>
      <c r="D59" s="11"/>
      <c r="E59" s="11"/>
      <c r="F59" s="11"/>
      <c r="G59" s="11"/>
      <c r="H59" s="33">
        <f>B59+C59+D59+E59+F59+G59</f>
        <v>1400</v>
      </c>
      <c r="I59" s="33"/>
      <c r="J59" s="33">
        <v>112</v>
      </c>
      <c r="K59" s="33">
        <f>84</f>
        <v>84</v>
      </c>
      <c r="L59" s="33">
        <f>I59+J59+K59</f>
        <v>196</v>
      </c>
      <c r="M59" s="3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39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47" t="s">
        <v>74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f>4060+126.67</f>
        <v>4186.67</v>
      </c>
      <c r="C62" s="11"/>
      <c r="D62" s="11"/>
      <c r="E62" s="11"/>
      <c r="F62" s="11"/>
      <c r="G62" s="11"/>
      <c r="H62" s="33">
        <f>B62+C62+D62+E62+F62+G62</f>
        <v>4186.67</v>
      </c>
      <c r="I62" s="33">
        <v>147.24</v>
      </c>
      <c r="J62" s="33">
        <v>460.53</v>
      </c>
      <c r="K62" s="33"/>
      <c r="L62" s="33">
        <f>I62+J62+K62</f>
        <v>607.77</v>
      </c>
      <c r="M62" s="33">
        <f>H62-L62</f>
        <v>3578.9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41</v>
      </c>
      <c r="B63" s="23"/>
      <c r="C63" s="12"/>
      <c r="D63" s="12"/>
      <c r="E63" s="12"/>
      <c r="F63" s="12"/>
      <c r="G63" s="12"/>
      <c r="H63" s="23"/>
      <c r="I63" s="23"/>
      <c r="J63" s="23"/>
      <c r="K63" s="23"/>
      <c r="L63" s="23"/>
      <c r="M63" s="23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38</v>
      </c>
      <c r="B64" s="23"/>
      <c r="C64" s="12"/>
      <c r="D64" s="12"/>
      <c r="E64" s="12"/>
      <c r="F64" s="12"/>
      <c r="G64" s="12"/>
      <c r="H64" s="23"/>
      <c r="I64" s="23"/>
      <c r="J64" s="23"/>
      <c r="K64" s="23"/>
      <c r="L64" s="23"/>
      <c r="M64" s="23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43557</v>
      </c>
      <c r="B65" s="23">
        <v>1400</v>
      </c>
      <c r="C65" s="12"/>
      <c r="D65" s="12"/>
      <c r="E65" s="12"/>
      <c r="F65" s="12"/>
      <c r="G65" s="12"/>
      <c r="H65" s="23">
        <f>SUM(B65:G65)</f>
        <v>1400</v>
      </c>
      <c r="I65" s="23"/>
      <c r="J65" s="23">
        <v>112</v>
      </c>
      <c r="K65" s="23">
        <v>84</v>
      </c>
      <c r="L65" s="23">
        <f>I65+J65+K65</f>
        <v>196</v>
      </c>
      <c r="M65" s="23">
        <f>H65-L65</f>
        <v>1204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5" t="s">
        <v>42</v>
      </c>
      <c r="B66" s="37"/>
      <c r="C66" s="26"/>
      <c r="D66" s="26"/>
      <c r="E66" s="26"/>
      <c r="F66" s="26"/>
      <c r="G66" s="26"/>
      <c r="H66" s="37"/>
      <c r="I66" s="37"/>
      <c r="J66" s="37"/>
      <c r="K66" s="37"/>
      <c r="L66" s="37"/>
      <c r="M66" s="37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63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43697</v>
      </c>
      <c r="B69" s="33">
        <v>1400</v>
      </c>
      <c r="C69" s="11"/>
      <c r="D69" s="11"/>
      <c r="E69" s="11"/>
      <c r="F69" s="11"/>
      <c r="G69" s="11"/>
      <c r="H69" s="33">
        <f>SUM(B69:G69)</f>
        <v>1400</v>
      </c>
      <c r="I69" s="33"/>
      <c r="J69" s="33">
        <v>112</v>
      </c>
      <c r="K69" s="33">
        <v>0</v>
      </c>
      <c r="L69" s="33">
        <f>I69+J69+K69</f>
        <v>112</v>
      </c>
      <c r="M69" s="33">
        <f>H69-L69</f>
        <v>1288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43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44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43535</v>
      </c>
      <c r="B72" s="33">
        <v>3000</v>
      </c>
      <c r="C72" s="11"/>
      <c r="D72" s="11"/>
      <c r="E72" s="11"/>
      <c r="F72" s="11"/>
      <c r="G72" s="11"/>
      <c r="H72" s="33">
        <f>B72+C72+D72+E72+F72+G72</f>
        <v>3000</v>
      </c>
      <c r="I72" s="33">
        <v>29.01</v>
      </c>
      <c r="J72" s="33">
        <v>330</v>
      </c>
      <c r="K72" s="33"/>
      <c r="L72" s="33">
        <f>I72+J72+K72</f>
        <v>359.01</v>
      </c>
      <c r="M72" s="33">
        <f>H72-L72</f>
        <v>2640.99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8" t="s">
        <v>45</v>
      </c>
      <c r="B73" s="37"/>
      <c r="C73" s="38"/>
      <c r="D73" s="38"/>
      <c r="E73" s="38"/>
      <c r="F73" s="39"/>
      <c r="G73" s="38"/>
      <c r="H73" s="40"/>
      <c r="I73" s="40"/>
      <c r="J73" s="40"/>
      <c r="K73" s="40"/>
      <c r="L73" s="40"/>
      <c r="M73" s="40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3" t="s">
        <v>46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5" t="s">
        <v>44</v>
      </c>
      <c r="B75" s="23"/>
      <c r="C75" s="34"/>
      <c r="D75" s="34"/>
      <c r="E75" s="34"/>
      <c r="F75" s="35"/>
      <c r="G75" s="34"/>
      <c r="H75" s="36"/>
      <c r="I75" s="36"/>
      <c r="J75" s="36"/>
      <c r="K75" s="36"/>
      <c r="L75" s="36"/>
      <c r="M75" s="36"/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6">
        <v>43535</v>
      </c>
      <c r="B76" s="33">
        <v>3000</v>
      </c>
      <c r="C76" s="11"/>
      <c r="D76" s="11"/>
      <c r="E76" s="11"/>
      <c r="F76" s="11"/>
      <c r="G76" s="11"/>
      <c r="H76" s="33">
        <f>B76+C76+D76+E76+F76+G76</f>
        <v>3000</v>
      </c>
      <c r="I76" s="33">
        <v>43.23</v>
      </c>
      <c r="J76" s="33">
        <v>330</v>
      </c>
      <c r="K76" s="33"/>
      <c r="L76" s="33">
        <f>I76+J76+K76</f>
        <v>373.23</v>
      </c>
      <c r="M76" s="33">
        <f>H76-L76</f>
        <v>2626.77</v>
      </c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8" t="s">
        <v>47</v>
      </c>
      <c r="B77" s="23"/>
      <c r="C77" s="12"/>
      <c r="D77" s="12"/>
      <c r="E77" s="12"/>
      <c r="F77" s="12"/>
      <c r="G77" s="12"/>
      <c r="H77" s="23"/>
      <c r="I77" s="23"/>
      <c r="J77" s="23"/>
      <c r="K77" s="23"/>
      <c r="L77" s="23"/>
      <c r="M77" s="23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0" t="s">
        <v>69</v>
      </c>
      <c r="B78" s="23"/>
      <c r="C78" s="12"/>
      <c r="D78" s="12"/>
      <c r="E78" s="12"/>
      <c r="F78" s="12"/>
      <c r="G78" s="12"/>
      <c r="H78" s="23"/>
      <c r="I78" s="23"/>
      <c r="J78" s="23"/>
      <c r="K78" s="23"/>
      <c r="L78" s="23"/>
      <c r="M78" s="23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0">
        <v>43567</v>
      </c>
      <c r="B79" s="23">
        <v>2000</v>
      </c>
      <c r="C79" s="12"/>
      <c r="D79" s="12"/>
      <c r="E79" s="12"/>
      <c r="F79" s="12"/>
      <c r="G79" s="12"/>
      <c r="H79" s="23">
        <f>SUM(B79:G79)</f>
        <v>2000</v>
      </c>
      <c r="I79" s="23"/>
      <c r="J79" s="23">
        <v>180</v>
      </c>
      <c r="K79" s="23"/>
      <c r="L79" s="23">
        <f>SUM(I79:K79)</f>
        <v>180</v>
      </c>
      <c r="M79" s="2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8" t="s">
        <v>48</v>
      </c>
      <c r="B80" s="37"/>
      <c r="C80" s="38"/>
      <c r="D80" s="38"/>
      <c r="E80" s="38"/>
      <c r="F80" s="39"/>
      <c r="G80" s="38"/>
      <c r="H80" s="39"/>
      <c r="I80" s="39"/>
      <c r="J80" s="39"/>
      <c r="K80" s="39"/>
      <c r="L80" s="39"/>
      <c r="M80" s="3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8" t="s">
        <v>49</v>
      </c>
      <c r="B81" s="23"/>
      <c r="C81" s="34"/>
      <c r="D81" s="34"/>
      <c r="E81" s="34"/>
      <c r="F81" s="35"/>
      <c r="G81" s="34"/>
      <c r="H81" s="35"/>
      <c r="I81" s="35"/>
      <c r="J81" s="35"/>
      <c r="K81" s="35"/>
      <c r="L81" s="35"/>
      <c r="M81" s="3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5" t="s">
        <v>69</v>
      </c>
      <c r="B82" s="23"/>
      <c r="C82" s="34"/>
      <c r="D82" s="34"/>
      <c r="E82" s="34"/>
      <c r="F82" s="35"/>
      <c r="G82" s="34"/>
      <c r="H82" s="35"/>
      <c r="I82" s="35"/>
      <c r="J82" s="35"/>
      <c r="K82" s="35"/>
      <c r="L82" s="35"/>
      <c r="M82" s="3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6">
        <v>43535</v>
      </c>
      <c r="B83" s="33">
        <v>2000</v>
      </c>
      <c r="C83" s="11"/>
      <c r="D83" s="11"/>
      <c r="E83" s="11"/>
      <c r="F83" s="11"/>
      <c r="G83" s="11"/>
      <c r="H83" s="33">
        <f>B83+C83+D83+E83+F83+G83</f>
        <v>2000</v>
      </c>
      <c r="I83" s="33"/>
      <c r="J83" s="33">
        <v>180</v>
      </c>
      <c r="K83" s="33">
        <v>0</v>
      </c>
      <c r="L83" s="33">
        <f>SUM(I83:K83)</f>
        <v>180</v>
      </c>
      <c r="M83" s="33">
        <f>H83-L83</f>
        <v>1820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75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38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43718</v>
      </c>
      <c r="B86" s="33">
        <v>980</v>
      </c>
      <c r="C86" s="11"/>
      <c r="D86" s="11"/>
      <c r="E86" s="11"/>
      <c r="F86" s="11"/>
      <c r="G86" s="11"/>
      <c r="H86" s="33">
        <f>B86+C86+D86+E86+F86+G86</f>
        <v>980</v>
      </c>
      <c r="I86" s="33"/>
      <c r="J86" s="33">
        <v>78.400000000000006</v>
      </c>
      <c r="K86" s="33">
        <v>0</v>
      </c>
      <c r="L86" s="33">
        <f>SUM(I86:K86)</f>
        <v>78.400000000000006</v>
      </c>
      <c r="M86" s="33">
        <f>H86-L86</f>
        <v>901.6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28" t="s">
        <v>50</v>
      </c>
      <c r="B87" s="37"/>
      <c r="C87" s="38"/>
      <c r="D87" s="38"/>
      <c r="E87" s="38"/>
      <c r="F87" s="39"/>
      <c r="G87" s="38"/>
      <c r="H87" s="39"/>
      <c r="I87" s="39"/>
      <c r="J87" s="39"/>
      <c r="K87" s="39"/>
      <c r="L87" s="39"/>
      <c r="M87" s="3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8" t="s">
        <v>51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5" t="s">
        <v>52</v>
      </c>
      <c r="B89" s="23"/>
      <c r="C89" s="34"/>
      <c r="D89" s="34"/>
      <c r="E89" s="34"/>
      <c r="F89" s="35"/>
      <c r="G89" s="34"/>
      <c r="H89" s="35"/>
      <c r="I89" s="35"/>
      <c r="J89" s="35"/>
      <c r="K89" s="35"/>
      <c r="L89" s="35"/>
      <c r="M89" s="3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94">
        <v>43556</v>
      </c>
      <c r="B90" s="96">
        <v>4000</v>
      </c>
      <c r="C90" s="95"/>
      <c r="D90" s="95"/>
      <c r="E90" s="95"/>
      <c r="F90" s="95"/>
      <c r="G90" s="95"/>
      <c r="H90" s="96">
        <f>B90+C90+D90+E90+F90+G90</f>
        <v>4000</v>
      </c>
      <c r="I90" s="96">
        <v>122.32</v>
      </c>
      <c r="J90" s="96">
        <v>440</v>
      </c>
      <c r="K90" s="96"/>
      <c r="L90" s="96">
        <f>I90+J90+K90</f>
        <v>562.31999999999994</v>
      </c>
      <c r="M90" s="96">
        <f>H90-L90</f>
        <v>3437.6800000000003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91" t="s">
        <v>2</v>
      </c>
      <c r="B91" s="111" t="s">
        <v>3</v>
      </c>
      <c r="C91" s="111" t="s">
        <v>4</v>
      </c>
      <c r="D91" s="110" t="s">
        <v>5</v>
      </c>
      <c r="E91" s="110" t="s">
        <v>6</v>
      </c>
      <c r="F91" s="110" t="s">
        <v>7</v>
      </c>
      <c r="G91" s="111" t="s">
        <v>8</v>
      </c>
      <c r="H91" s="110" t="s">
        <v>9</v>
      </c>
      <c r="I91" s="111" t="s">
        <v>10</v>
      </c>
      <c r="J91" s="111" t="s">
        <v>11</v>
      </c>
      <c r="K91" s="110" t="s">
        <v>12</v>
      </c>
      <c r="L91" s="110" t="s">
        <v>13</v>
      </c>
      <c r="M91" s="110" t="s">
        <v>14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90" t="s">
        <v>15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3" t="s">
        <v>16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41" t="s">
        <v>64</v>
      </c>
      <c r="B94" s="42"/>
      <c r="C94" s="43"/>
      <c r="D94" s="43"/>
      <c r="E94" s="43"/>
      <c r="F94" s="44"/>
      <c r="G94" s="43"/>
      <c r="H94" s="44"/>
      <c r="I94" s="44"/>
      <c r="J94" s="44"/>
      <c r="K94" s="44"/>
      <c r="L94" s="44"/>
      <c r="M94" s="4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8" t="s">
        <v>65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0" t="s">
        <v>69</v>
      </c>
      <c r="B96" s="23"/>
      <c r="C96" s="34"/>
      <c r="D96" s="34"/>
      <c r="E96" s="34"/>
      <c r="F96" s="35"/>
      <c r="G96" s="34"/>
      <c r="H96" s="35"/>
      <c r="I96" s="35"/>
      <c r="J96" s="35"/>
      <c r="K96" s="35"/>
      <c r="L96" s="35"/>
      <c r="M96" s="35"/>
      <c r="N96" s="45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6">
        <v>43697</v>
      </c>
      <c r="B97" s="33">
        <v>2000</v>
      </c>
      <c r="C97" s="11"/>
      <c r="D97" s="11"/>
      <c r="E97" s="11"/>
      <c r="F97" s="11"/>
      <c r="G97" s="11"/>
      <c r="H97" s="33">
        <f>B97+C97+D97+E97+F97+G97</f>
        <v>2000</v>
      </c>
      <c r="I97" s="33">
        <v>0</v>
      </c>
      <c r="J97" s="33">
        <v>180</v>
      </c>
      <c r="K97" s="33"/>
      <c r="L97" s="33">
        <f>I97+J97+K97</f>
        <v>180</v>
      </c>
      <c r="M97" s="46">
        <f>H97-L97</f>
        <v>1820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41" t="s">
        <v>76</v>
      </c>
      <c r="B98" s="42"/>
      <c r="C98" s="43"/>
      <c r="D98" s="43"/>
      <c r="E98" s="43"/>
      <c r="F98" s="44"/>
      <c r="G98" s="43"/>
      <c r="H98" s="44"/>
      <c r="I98" s="44"/>
      <c r="J98" s="44"/>
      <c r="K98" s="44"/>
      <c r="L98" s="44"/>
      <c r="M98" s="4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8" t="s">
        <v>77</v>
      </c>
      <c r="B99" s="23"/>
      <c r="C99" s="34"/>
      <c r="D99" s="34"/>
      <c r="E99" s="34"/>
      <c r="F99" s="35"/>
      <c r="G99" s="34"/>
      <c r="H99" s="35"/>
      <c r="I99" s="35"/>
      <c r="J99" s="35"/>
      <c r="K99" s="35"/>
      <c r="L99" s="35"/>
      <c r="M99" s="3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0" t="s">
        <v>69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45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6">
        <v>43712</v>
      </c>
      <c r="B101" s="33">
        <v>1800</v>
      </c>
      <c r="C101" s="11"/>
      <c r="D101" s="11"/>
      <c r="E101" s="11"/>
      <c r="F101" s="11"/>
      <c r="G101" s="11"/>
      <c r="H101" s="33">
        <f>B101+C101+D101+E101+F101+G101</f>
        <v>1800</v>
      </c>
      <c r="I101" s="33"/>
      <c r="J101" s="33">
        <v>162</v>
      </c>
      <c r="K101" s="33"/>
      <c r="L101" s="33">
        <f>I101+J101+K101</f>
        <v>162</v>
      </c>
      <c r="M101" s="46">
        <f>H101-L101</f>
        <v>1638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41" t="s">
        <v>78</v>
      </c>
      <c r="B102" s="42"/>
      <c r="C102" s="43"/>
      <c r="D102" s="43"/>
      <c r="E102" s="43"/>
      <c r="F102" s="44"/>
      <c r="G102" s="43"/>
      <c r="H102" s="44"/>
      <c r="I102" s="44"/>
      <c r="J102" s="44"/>
      <c r="K102" s="44"/>
      <c r="L102" s="44"/>
      <c r="M102" s="4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8" t="s">
        <v>79</v>
      </c>
      <c r="B103" s="23"/>
      <c r="C103" s="34"/>
      <c r="D103" s="34"/>
      <c r="E103" s="34"/>
      <c r="F103" s="35"/>
      <c r="G103" s="34"/>
      <c r="H103" s="35"/>
      <c r="I103" s="35"/>
      <c r="J103" s="35"/>
      <c r="K103" s="35"/>
      <c r="L103" s="35"/>
      <c r="M103" s="3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0" t="s">
        <v>69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45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6">
        <v>43713</v>
      </c>
      <c r="B105" s="33">
        <v>1733.33</v>
      </c>
      <c r="C105" s="11"/>
      <c r="D105" s="11"/>
      <c r="E105" s="11"/>
      <c r="F105" s="11"/>
      <c r="G105" s="11"/>
      <c r="H105" s="33">
        <f>B105+C105+D105+E105+F105+G105</f>
        <v>1733.33</v>
      </c>
      <c r="I105" s="33"/>
      <c r="J105" s="33">
        <v>138.66</v>
      </c>
      <c r="K105" s="33"/>
      <c r="L105" s="33">
        <f>I105+J105+K105</f>
        <v>138.66</v>
      </c>
      <c r="M105" s="46">
        <f>H105-L105</f>
        <v>1594.6699999999998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4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"/>
    <row r="307" spans="1:33" ht="15.75" customHeight="1" x14ac:dyDescent="0.2"/>
    <row r="308" spans="1:33" ht="15.75" customHeight="1" x14ac:dyDescent="0.2"/>
    <row r="309" spans="1:33" ht="15.75" customHeight="1" x14ac:dyDescent="0.2"/>
    <row r="310" spans="1:33" ht="15.75" customHeight="1" x14ac:dyDescent="0.2"/>
    <row r="311" spans="1:33" ht="15.75" customHeight="1" x14ac:dyDescent="0.2"/>
    <row r="312" spans="1:33" ht="15.75" customHeight="1" x14ac:dyDescent="0.2"/>
    <row r="313" spans="1:33" ht="15.75" customHeight="1" x14ac:dyDescent="0.2"/>
    <row r="314" spans="1:33" ht="15.75" customHeight="1" x14ac:dyDescent="0.2"/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4:G46"/>
    <mergeCell ref="H44:H46"/>
    <mergeCell ref="J44:J46"/>
    <mergeCell ref="K44:K46"/>
    <mergeCell ref="L44:L46"/>
    <mergeCell ref="M44:M46"/>
    <mergeCell ref="C44:C46"/>
    <mergeCell ref="D44:D46"/>
    <mergeCell ref="E44:E46"/>
    <mergeCell ref="F44:F46"/>
    <mergeCell ref="I44:I46"/>
    <mergeCell ref="M91:M93"/>
    <mergeCell ref="B44:B46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</mergeCells>
  <pageMargins left="0.51181102362204722" right="0.51181102362204722" top="0.73" bottom="0.27559055118110237" header="0" footer="0"/>
  <pageSetup paperSize="9" orientation="landscape"/>
  <rowBreaks count="2" manualBreakCount="2">
    <brk id="90" man="1"/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0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102" t="s">
        <v>3</v>
      </c>
      <c r="C4" s="102" t="s">
        <v>4</v>
      </c>
      <c r="D4" s="99" t="s">
        <v>5</v>
      </c>
      <c r="E4" s="99" t="s">
        <v>6</v>
      </c>
      <c r="F4" s="99" t="s">
        <v>7</v>
      </c>
      <c r="G4" s="102" t="s">
        <v>8</v>
      </c>
      <c r="H4" s="99" t="s">
        <v>9</v>
      </c>
      <c r="I4" s="102" t="s">
        <v>10</v>
      </c>
      <c r="J4" s="102" t="s">
        <v>11</v>
      </c>
      <c r="K4" s="99" t="s">
        <v>12</v>
      </c>
      <c r="L4" s="99" t="s">
        <v>13</v>
      </c>
      <c r="M4" s="99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>
        <v>180</v>
      </c>
      <c r="L16" s="33">
        <f>SUM(I16:K16)</f>
        <v>567.45000000000005</v>
      </c>
      <c r="M16" s="33">
        <f>H16-L16</f>
        <v>2432.5500000000002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v>6000</v>
      </c>
      <c r="C34" s="11"/>
      <c r="D34" s="11"/>
      <c r="E34" s="11"/>
      <c r="F34" s="11"/>
      <c r="G34" s="11"/>
      <c r="H34" s="33">
        <f>B34+C34+D34+E34+F34+G34</f>
        <v>6000</v>
      </c>
      <c r="I34" s="33">
        <v>499.72</v>
      </c>
      <c r="J34" s="33">
        <v>642.33000000000004</v>
      </c>
      <c r="K34" s="33">
        <v>200</v>
      </c>
      <c r="L34" s="33">
        <f>I34+J34+K34</f>
        <v>1342.0500000000002</v>
      </c>
      <c r="M34" s="33">
        <f>H34-L34</f>
        <v>4657.95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82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2200</v>
      </c>
      <c r="C37" s="11"/>
      <c r="D37" s="11"/>
      <c r="E37" s="11"/>
      <c r="F37" s="11"/>
      <c r="G37" s="11"/>
      <c r="H37" s="33">
        <f>B37+C37+D37+E37+F37+G37</f>
        <v>2200</v>
      </c>
      <c r="I37" s="33"/>
      <c r="J37" s="33">
        <v>198</v>
      </c>
      <c r="K37" s="33">
        <v>132</v>
      </c>
      <c r="L37" s="33">
        <f>I37+J37+K37</f>
        <v>330</v>
      </c>
      <c r="M37" s="33">
        <f>H37-L37</f>
        <v>1870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4">
        <v>43507</v>
      </c>
      <c r="B43" s="95">
        <v>7000</v>
      </c>
      <c r="C43" s="95"/>
      <c r="D43" s="95"/>
      <c r="E43" s="95"/>
      <c r="F43" s="95"/>
      <c r="G43" s="95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3" t="s">
        <v>83</v>
      </c>
      <c r="B44" s="12"/>
      <c r="C44" s="34"/>
      <c r="D44" s="34"/>
      <c r="E44" s="34"/>
      <c r="F44" s="35"/>
      <c r="G44" s="34"/>
      <c r="H44" s="36"/>
      <c r="I44" s="36"/>
      <c r="J44" s="36"/>
      <c r="K44" s="36"/>
      <c r="L44" s="36"/>
      <c r="M44" s="3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5" t="s">
        <v>84</v>
      </c>
      <c r="B45" s="12"/>
      <c r="C45" s="34"/>
      <c r="D45" s="34"/>
      <c r="E45" s="34"/>
      <c r="F45" s="35"/>
      <c r="G45" s="34"/>
      <c r="H45" s="36"/>
      <c r="I45" s="36"/>
      <c r="J45" s="36"/>
      <c r="K45" s="36"/>
      <c r="L45" s="36"/>
      <c r="M45" s="36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 x14ac:dyDescent="0.25">
      <c r="A46" s="94">
        <v>43745</v>
      </c>
      <c r="B46" s="95">
        <v>1666.67</v>
      </c>
      <c r="C46" s="95"/>
      <c r="D46" s="95"/>
      <c r="E46" s="95"/>
      <c r="F46" s="95"/>
      <c r="G46" s="95"/>
      <c r="H46" s="33">
        <f>B46+C46+D46+E46+F46+G46</f>
        <v>1666.67</v>
      </c>
      <c r="I46" s="33"/>
      <c r="J46" s="33">
        <v>133.33000000000001</v>
      </c>
      <c r="K46" s="33">
        <f>120+100</f>
        <v>220</v>
      </c>
      <c r="L46" s="33">
        <f>I46+J46+K46</f>
        <v>353.33000000000004</v>
      </c>
      <c r="M46" s="33">
        <f>H46-L46</f>
        <v>1313.3400000000001</v>
      </c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4" t="s">
        <v>2</v>
      </c>
      <c r="B47" s="102" t="s">
        <v>3</v>
      </c>
      <c r="C47" s="102" t="s">
        <v>4</v>
      </c>
      <c r="D47" s="99" t="s">
        <v>5</v>
      </c>
      <c r="E47" s="99" t="s">
        <v>6</v>
      </c>
      <c r="F47" s="99" t="s">
        <v>7</v>
      </c>
      <c r="G47" s="102" t="s">
        <v>8</v>
      </c>
      <c r="H47" s="99" t="s">
        <v>9</v>
      </c>
      <c r="I47" s="102" t="s">
        <v>10</v>
      </c>
      <c r="J47" s="102" t="s">
        <v>11</v>
      </c>
      <c r="K47" s="99" t="s">
        <v>12</v>
      </c>
      <c r="L47" s="99" t="s">
        <v>13</v>
      </c>
      <c r="M47" s="99" t="s">
        <v>14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90" t="s">
        <v>15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93" t="s">
        <v>16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5" t="s">
        <v>33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47" t="s">
        <v>73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69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43712</v>
      </c>
      <c r="B53" s="11">
        <v>2000</v>
      </c>
      <c r="C53" s="11"/>
      <c r="D53" s="11"/>
      <c r="E53" s="11"/>
      <c r="F53" s="11"/>
      <c r="G53" s="11"/>
      <c r="H53" s="33">
        <f>SUM(B53:G53)</f>
        <v>2000</v>
      </c>
      <c r="I53" s="33"/>
      <c r="J53" s="33">
        <v>180</v>
      </c>
      <c r="K53" s="33">
        <v>120</v>
      </c>
      <c r="L53" s="33">
        <f>SUM(I53:K53)</f>
        <v>300</v>
      </c>
      <c r="M53" s="33">
        <f>H53-L53</f>
        <v>1700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7" t="s">
        <v>34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35</v>
      </c>
      <c r="B55" s="12"/>
      <c r="C55" s="12"/>
      <c r="D55" s="12"/>
      <c r="E55" s="12"/>
      <c r="F55" s="12"/>
      <c r="G55" s="12"/>
      <c r="H55" s="23"/>
      <c r="I55" s="23"/>
      <c r="J55" s="23"/>
      <c r="K55" s="23"/>
      <c r="L55" s="23"/>
      <c r="M55" s="23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43525</v>
      </c>
      <c r="B56" s="11">
        <v>6000</v>
      </c>
      <c r="C56" s="11"/>
      <c r="D56" s="11"/>
      <c r="E56" s="11"/>
      <c r="F56" s="11"/>
      <c r="G56" s="11"/>
      <c r="H56" s="33">
        <f>SUM(B56:G56)</f>
        <v>6000</v>
      </c>
      <c r="I56" s="33">
        <v>551.86</v>
      </c>
      <c r="J56" s="33">
        <v>642.33000000000004</v>
      </c>
      <c r="K56" s="33"/>
      <c r="L56" s="33">
        <f>SUM(I56:K56)</f>
        <v>1194.19</v>
      </c>
      <c r="M56" s="33">
        <f>H56-L56</f>
        <v>4805.8099999999995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36</v>
      </c>
      <c r="B57" s="12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69</v>
      </c>
      <c r="B58" s="12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2000</v>
      </c>
      <c r="C59" s="11"/>
      <c r="D59" s="11"/>
      <c r="E59" s="11"/>
      <c r="F59" s="11"/>
      <c r="G59" s="11">
        <v>500</v>
      </c>
      <c r="H59" s="33">
        <f>B59+C59+D59+E59+F59+G59</f>
        <v>2500</v>
      </c>
      <c r="I59" s="33">
        <v>27.83</v>
      </c>
      <c r="J59" s="33">
        <v>225</v>
      </c>
      <c r="K59" s="33">
        <f>120</f>
        <v>120</v>
      </c>
      <c r="L59" s="33">
        <f>I59+J59+K59</f>
        <v>372.83</v>
      </c>
      <c r="M59" s="33">
        <f>H59-L59</f>
        <v>2127.17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37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38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v>1400</v>
      </c>
      <c r="C62" s="11"/>
      <c r="D62" s="11"/>
      <c r="E62" s="11"/>
      <c r="F62" s="11"/>
      <c r="G62" s="11"/>
      <c r="H62" s="33">
        <f>B62+C62+D62+E62+F62+G62</f>
        <v>1400</v>
      </c>
      <c r="I62" s="33"/>
      <c r="J62" s="33">
        <v>112</v>
      </c>
      <c r="K62" s="33">
        <f>84</f>
        <v>84</v>
      </c>
      <c r="L62" s="33">
        <f>I62+J62+K62</f>
        <v>196</v>
      </c>
      <c r="M62" s="33">
        <f>H62-L62</f>
        <v>1204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3" t="s">
        <v>39</v>
      </c>
      <c r="B63" s="23"/>
      <c r="C63" s="34"/>
      <c r="D63" s="34"/>
      <c r="E63" s="34"/>
      <c r="F63" s="35"/>
      <c r="G63" s="34"/>
      <c r="H63" s="36"/>
      <c r="I63" s="36"/>
      <c r="J63" s="36"/>
      <c r="K63" s="36"/>
      <c r="L63" s="36"/>
      <c r="M63" s="36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47" t="s">
        <v>74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6">
        <v>43507</v>
      </c>
      <c r="B65" s="33">
        <v>4200</v>
      </c>
      <c r="C65" s="11"/>
      <c r="D65" s="11"/>
      <c r="E65" s="11"/>
      <c r="F65" s="11"/>
      <c r="G65" s="11"/>
      <c r="H65" s="33">
        <f>B65+C65+D65+E65+F65+G65</f>
        <v>4200</v>
      </c>
      <c r="I65" s="33">
        <v>149.02000000000001</v>
      </c>
      <c r="J65" s="33">
        <v>462</v>
      </c>
      <c r="K65" s="33"/>
      <c r="L65" s="33">
        <f>I65+J65+K65</f>
        <v>611.02</v>
      </c>
      <c r="M65" s="33">
        <f>H65-L65</f>
        <v>3588.98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8" t="s">
        <v>41</v>
      </c>
      <c r="B66" s="23"/>
      <c r="C66" s="12"/>
      <c r="D66" s="12"/>
      <c r="E66" s="12"/>
      <c r="F66" s="12"/>
      <c r="G66" s="12"/>
      <c r="H66" s="23"/>
      <c r="I66" s="23"/>
      <c r="J66" s="23"/>
      <c r="K66" s="23"/>
      <c r="L66" s="23"/>
      <c r="M66" s="23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0" t="s">
        <v>38</v>
      </c>
      <c r="B67" s="23"/>
      <c r="C67" s="12"/>
      <c r="D67" s="12"/>
      <c r="E67" s="12"/>
      <c r="F67" s="12"/>
      <c r="G67" s="12"/>
      <c r="H67" s="23"/>
      <c r="I67" s="23"/>
      <c r="J67" s="23"/>
      <c r="K67" s="23"/>
      <c r="L67" s="23"/>
      <c r="M67" s="23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0">
        <v>43557</v>
      </c>
      <c r="B68" s="23">
        <v>1400</v>
      </c>
      <c r="C68" s="12"/>
      <c r="D68" s="12"/>
      <c r="E68" s="12"/>
      <c r="F68" s="12"/>
      <c r="G68" s="12"/>
      <c r="H68" s="23">
        <f>SUM(B68:G68)</f>
        <v>1400</v>
      </c>
      <c r="I68" s="23"/>
      <c r="J68" s="23">
        <v>112</v>
      </c>
      <c r="K68" s="23">
        <v>84</v>
      </c>
      <c r="L68" s="23">
        <f>I68+J68+K68</f>
        <v>196</v>
      </c>
      <c r="M68" s="23">
        <f>H68-L68</f>
        <v>1204</v>
      </c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25" t="s">
        <v>42</v>
      </c>
      <c r="B69" s="37"/>
      <c r="C69" s="26"/>
      <c r="D69" s="26"/>
      <c r="E69" s="26"/>
      <c r="F69" s="26"/>
      <c r="G69" s="26"/>
      <c r="H69" s="37"/>
      <c r="I69" s="37"/>
      <c r="J69" s="37"/>
      <c r="K69" s="37"/>
      <c r="L69" s="37"/>
      <c r="M69" s="37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63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69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43697</v>
      </c>
      <c r="B72" s="33">
        <v>2000</v>
      </c>
      <c r="C72" s="11"/>
      <c r="D72" s="11"/>
      <c r="E72" s="11"/>
      <c r="F72" s="11"/>
      <c r="G72" s="11"/>
      <c r="H72" s="33">
        <f>SUM(B72:G72)</f>
        <v>2000</v>
      </c>
      <c r="I72" s="33"/>
      <c r="J72" s="33">
        <v>180</v>
      </c>
      <c r="K72" s="33">
        <v>0</v>
      </c>
      <c r="L72" s="33">
        <f>I72+J72+K72</f>
        <v>180</v>
      </c>
      <c r="M72" s="33">
        <f>H72-L72</f>
        <v>1820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3" t="s">
        <v>43</v>
      </c>
      <c r="B73" s="23"/>
      <c r="C73" s="34"/>
      <c r="D73" s="34"/>
      <c r="E73" s="34"/>
      <c r="F73" s="35"/>
      <c r="G73" s="34"/>
      <c r="H73" s="36"/>
      <c r="I73" s="36"/>
      <c r="J73" s="36"/>
      <c r="K73" s="36"/>
      <c r="L73" s="36"/>
      <c r="M73" s="36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5" t="s">
        <v>44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6">
        <v>43535</v>
      </c>
      <c r="B75" s="33">
        <v>3000</v>
      </c>
      <c r="C75" s="11"/>
      <c r="D75" s="11"/>
      <c r="E75" s="11"/>
      <c r="F75" s="11"/>
      <c r="G75" s="11"/>
      <c r="H75" s="33">
        <f>B75+C75+D75+E75+F75+G75</f>
        <v>3000</v>
      </c>
      <c r="I75" s="33">
        <v>29.01</v>
      </c>
      <c r="J75" s="33">
        <v>330</v>
      </c>
      <c r="K75" s="33"/>
      <c r="L75" s="33">
        <f>I75+J75+K75</f>
        <v>359.01</v>
      </c>
      <c r="M75" s="33">
        <f>H75-L75</f>
        <v>2640.99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8" t="s">
        <v>45</v>
      </c>
      <c r="B76" s="37"/>
      <c r="C76" s="38"/>
      <c r="D76" s="38"/>
      <c r="E76" s="38"/>
      <c r="F76" s="39"/>
      <c r="G76" s="38"/>
      <c r="H76" s="40"/>
      <c r="I76" s="40"/>
      <c r="J76" s="40"/>
      <c r="K76" s="40"/>
      <c r="L76" s="40"/>
      <c r="M76" s="40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46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44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33">
        <v>3000</v>
      </c>
      <c r="C79" s="11"/>
      <c r="D79" s="11"/>
      <c r="E79" s="11"/>
      <c r="F79" s="11"/>
      <c r="G79" s="11"/>
      <c r="H79" s="33">
        <f>B79+C79+D79+E79+F79+G79</f>
        <v>3000</v>
      </c>
      <c r="I79" s="33">
        <v>43.23</v>
      </c>
      <c r="J79" s="33">
        <v>330</v>
      </c>
      <c r="K79" s="33"/>
      <c r="L79" s="33">
        <f>I79+J79+K79</f>
        <v>373.23</v>
      </c>
      <c r="M79" s="33">
        <f>H79-L79</f>
        <v>2626.77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8" t="s">
        <v>47</v>
      </c>
      <c r="B80" s="23"/>
      <c r="C80" s="12"/>
      <c r="D80" s="12"/>
      <c r="E80" s="12"/>
      <c r="F80" s="12"/>
      <c r="G80" s="12"/>
      <c r="H80" s="23"/>
      <c r="I80" s="23"/>
      <c r="J80" s="23"/>
      <c r="K80" s="23"/>
      <c r="L80" s="23"/>
      <c r="M80" s="23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0" t="s">
        <v>69</v>
      </c>
      <c r="B81" s="23"/>
      <c r="C81" s="12"/>
      <c r="D81" s="12"/>
      <c r="E81" s="12"/>
      <c r="F81" s="12"/>
      <c r="G81" s="12"/>
      <c r="H81" s="23"/>
      <c r="I81" s="23"/>
      <c r="J81" s="23"/>
      <c r="K81" s="23"/>
      <c r="L81" s="23"/>
      <c r="M81" s="23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0">
        <v>43567</v>
      </c>
      <c r="B82" s="23">
        <v>2000</v>
      </c>
      <c r="C82" s="12"/>
      <c r="D82" s="12"/>
      <c r="E82" s="12"/>
      <c r="F82" s="12"/>
      <c r="G82" s="12"/>
      <c r="H82" s="23">
        <f>SUM(B82:G82)</f>
        <v>2000</v>
      </c>
      <c r="I82" s="23"/>
      <c r="J82" s="23">
        <v>180</v>
      </c>
      <c r="K82" s="23"/>
      <c r="L82" s="23">
        <f>SUM(I82:K82)</f>
        <v>180</v>
      </c>
      <c r="M82" s="23">
        <f>H82-L82</f>
        <v>1820</v>
      </c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28" t="s">
        <v>48</v>
      </c>
      <c r="B83" s="37"/>
      <c r="C83" s="38"/>
      <c r="D83" s="38"/>
      <c r="E83" s="38"/>
      <c r="F83" s="39"/>
      <c r="G83" s="38"/>
      <c r="H83" s="39"/>
      <c r="I83" s="39"/>
      <c r="J83" s="39"/>
      <c r="K83" s="39"/>
      <c r="L83" s="39"/>
      <c r="M83" s="3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49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69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43535</v>
      </c>
      <c r="B86" s="33">
        <v>2000</v>
      </c>
      <c r="C86" s="11"/>
      <c r="D86" s="11"/>
      <c r="E86" s="11"/>
      <c r="F86" s="11"/>
      <c r="G86" s="11"/>
      <c r="H86" s="33">
        <f>B86+C86+D86+E86+F86+G86</f>
        <v>2000</v>
      </c>
      <c r="I86" s="33"/>
      <c r="J86" s="33">
        <v>180</v>
      </c>
      <c r="K86" s="33">
        <v>0</v>
      </c>
      <c r="L86" s="33">
        <f>SUM(I86:K86)</f>
        <v>180</v>
      </c>
      <c r="M86" s="33">
        <f>H86-L86</f>
        <v>1820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8" t="s">
        <v>75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5" t="s">
        <v>38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6">
        <v>43718</v>
      </c>
      <c r="B89" s="33">
        <v>1400</v>
      </c>
      <c r="C89" s="11"/>
      <c r="D89" s="11"/>
      <c r="E89" s="11"/>
      <c r="F89" s="11"/>
      <c r="G89" s="11"/>
      <c r="H89" s="33">
        <f>B89+C89+D89+E89+F89+G89</f>
        <v>1400</v>
      </c>
      <c r="I89" s="33"/>
      <c r="J89" s="33">
        <v>112</v>
      </c>
      <c r="K89" s="33">
        <v>0</v>
      </c>
      <c r="L89" s="33">
        <f>SUM(I89:K89)</f>
        <v>112</v>
      </c>
      <c r="M89" s="33">
        <f>H89-L89</f>
        <v>1288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28" t="s">
        <v>50</v>
      </c>
      <c r="B90" s="37"/>
      <c r="C90" s="38"/>
      <c r="D90" s="38"/>
      <c r="E90" s="38"/>
      <c r="F90" s="39"/>
      <c r="G90" s="38"/>
      <c r="H90" s="39"/>
      <c r="I90" s="39"/>
      <c r="J90" s="39"/>
      <c r="K90" s="39"/>
      <c r="L90" s="39"/>
      <c r="M90" s="3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8" t="s">
        <v>51</v>
      </c>
      <c r="B91" s="23"/>
      <c r="C91" s="34"/>
      <c r="D91" s="34"/>
      <c r="E91" s="34"/>
      <c r="F91" s="35"/>
      <c r="G91" s="34"/>
      <c r="H91" s="35"/>
      <c r="I91" s="35"/>
      <c r="J91" s="35"/>
      <c r="K91" s="35"/>
      <c r="L91" s="35"/>
      <c r="M91" s="3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5" t="s">
        <v>52</v>
      </c>
      <c r="B92" s="23"/>
      <c r="C92" s="34"/>
      <c r="D92" s="34"/>
      <c r="E92" s="34"/>
      <c r="F92" s="35"/>
      <c r="G92" s="34"/>
      <c r="H92" s="35"/>
      <c r="I92" s="35"/>
      <c r="J92" s="35"/>
      <c r="K92" s="35"/>
      <c r="L92" s="35"/>
      <c r="M92" s="3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4">
        <v>43556</v>
      </c>
      <c r="B93" s="96">
        <v>4000</v>
      </c>
      <c r="C93" s="95"/>
      <c r="D93" s="95"/>
      <c r="E93" s="95"/>
      <c r="F93" s="95"/>
      <c r="G93" s="95"/>
      <c r="H93" s="96">
        <f>B93+C93+D93+E93+F93+G93</f>
        <v>4000</v>
      </c>
      <c r="I93" s="96">
        <v>122.32</v>
      </c>
      <c r="J93" s="96">
        <v>440</v>
      </c>
      <c r="K93" s="96"/>
      <c r="L93" s="96">
        <f>I93+J93+K93</f>
        <v>562.31999999999994</v>
      </c>
      <c r="M93" s="96">
        <f>H93-L93</f>
        <v>3437.6800000000003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8" t="s">
        <v>85</v>
      </c>
      <c r="B94" s="23"/>
      <c r="C94" s="34"/>
      <c r="D94" s="34"/>
      <c r="E94" s="34"/>
      <c r="F94" s="35"/>
      <c r="G94" s="34"/>
      <c r="H94" s="35"/>
      <c r="I94" s="35"/>
      <c r="J94" s="35"/>
      <c r="K94" s="35"/>
      <c r="L94" s="35"/>
      <c r="M94" s="3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5" t="s">
        <v>69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94">
        <v>43753</v>
      </c>
      <c r="B96" s="96">
        <v>1133.33</v>
      </c>
      <c r="C96" s="95"/>
      <c r="D96" s="95"/>
      <c r="E96" s="95"/>
      <c r="F96" s="95"/>
      <c r="G96" s="95"/>
      <c r="H96" s="96">
        <f>B96+C96+D96+E96+F96+G96</f>
        <v>1133.33</v>
      </c>
      <c r="I96" s="96"/>
      <c r="J96" s="96">
        <v>90.66</v>
      </c>
      <c r="K96" s="96">
        <f>120+68</f>
        <v>188</v>
      </c>
      <c r="L96" s="96">
        <f>I96+J96+K96</f>
        <v>278.65999999999997</v>
      </c>
      <c r="M96" s="96">
        <f>H96-L96</f>
        <v>854.67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91" t="s">
        <v>2</v>
      </c>
      <c r="B97" s="111" t="s">
        <v>3</v>
      </c>
      <c r="C97" s="111" t="s">
        <v>4</v>
      </c>
      <c r="D97" s="110" t="s">
        <v>5</v>
      </c>
      <c r="E97" s="110" t="s">
        <v>6</v>
      </c>
      <c r="F97" s="110" t="s">
        <v>7</v>
      </c>
      <c r="G97" s="111" t="s">
        <v>8</v>
      </c>
      <c r="H97" s="110" t="s">
        <v>9</v>
      </c>
      <c r="I97" s="111" t="s">
        <v>10</v>
      </c>
      <c r="J97" s="111" t="s">
        <v>11</v>
      </c>
      <c r="K97" s="110" t="s">
        <v>12</v>
      </c>
      <c r="L97" s="110" t="s">
        <v>13</v>
      </c>
      <c r="M97" s="110" t="s">
        <v>14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90" t="s">
        <v>15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93" t="s">
        <v>16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41" t="s">
        <v>64</v>
      </c>
      <c r="B100" s="42"/>
      <c r="C100" s="43"/>
      <c r="D100" s="43"/>
      <c r="E100" s="43"/>
      <c r="F100" s="44"/>
      <c r="G100" s="43"/>
      <c r="H100" s="44"/>
      <c r="I100" s="44"/>
      <c r="J100" s="44"/>
      <c r="K100" s="44"/>
      <c r="L100" s="44"/>
      <c r="M100" s="4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8" t="s">
        <v>65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0" t="s">
        <v>69</v>
      </c>
      <c r="B102" s="23"/>
      <c r="C102" s="34"/>
      <c r="D102" s="34"/>
      <c r="E102" s="34"/>
      <c r="F102" s="35"/>
      <c r="G102" s="34"/>
      <c r="H102" s="35"/>
      <c r="I102" s="35"/>
      <c r="J102" s="35"/>
      <c r="K102" s="35"/>
      <c r="L102" s="35"/>
      <c r="M102" s="35"/>
      <c r="N102" s="45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6">
        <v>43697</v>
      </c>
      <c r="B103" s="33">
        <v>2000</v>
      </c>
      <c r="C103" s="11"/>
      <c r="D103" s="11"/>
      <c r="E103" s="11"/>
      <c r="F103" s="11"/>
      <c r="G103" s="11"/>
      <c r="H103" s="33">
        <f>B103+C103+D103+E103+F103+G103</f>
        <v>2000</v>
      </c>
      <c r="I103" s="33">
        <v>0</v>
      </c>
      <c r="J103" s="33">
        <v>180</v>
      </c>
      <c r="K103" s="33"/>
      <c r="L103" s="33">
        <f>I103+J103+K103</f>
        <v>180</v>
      </c>
      <c r="M103" s="46">
        <f>H103-L103</f>
        <v>1820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41" t="s">
        <v>76</v>
      </c>
      <c r="B104" s="42"/>
      <c r="C104" s="43"/>
      <c r="D104" s="43"/>
      <c r="E104" s="43"/>
      <c r="F104" s="44"/>
      <c r="G104" s="43"/>
      <c r="H104" s="44"/>
      <c r="I104" s="44"/>
      <c r="J104" s="44"/>
      <c r="K104" s="44"/>
      <c r="L104" s="44"/>
      <c r="M104" s="4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8" t="s">
        <v>77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0" t="s">
        <v>69</v>
      </c>
      <c r="B106" s="23"/>
      <c r="C106" s="34"/>
      <c r="D106" s="34"/>
      <c r="E106" s="34"/>
      <c r="F106" s="35"/>
      <c r="G106" s="34"/>
      <c r="H106" s="35"/>
      <c r="I106" s="35"/>
      <c r="J106" s="35"/>
      <c r="K106" s="35"/>
      <c r="L106" s="35"/>
      <c r="M106" s="35"/>
      <c r="N106" s="45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6">
        <v>43712</v>
      </c>
      <c r="B107" s="33">
        <v>2000</v>
      </c>
      <c r="C107" s="11"/>
      <c r="D107" s="11"/>
      <c r="E107" s="11"/>
      <c r="F107" s="11"/>
      <c r="G107" s="11"/>
      <c r="H107" s="33">
        <f>B107+C107+D107+E107+F107+G107</f>
        <v>2000</v>
      </c>
      <c r="I107" s="33"/>
      <c r="J107" s="33">
        <v>180</v>
      </c>
      <c r="K107" s="33"/>
      <c r="L107" s="33">
        <f>I107+J107+K107</f>
        <v>180</v>
      </c>
      <c r="M107" s="46">
        <f>H107-L107</f>
        <v>1820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41" t="s">
        <v>78</v>
      </c>
      <c r="B108" s="42"/>
      <c r="C108" s="43"/>
      <c r="D108" s="43"/>
      <c r="E108" s="43"/>
      <c r="F108" s="44"/>
      <c r="G108" s="43"/>
      <c r="H108" s="44"/>
      <c r="I108" s="44"/>
      <c r="J108" s="44"/>
      <c r="K108" s="44"/>
      <c r="L108" s="44"/>
      <c r="M108" s="4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8" t="s">
        <v>79</v>
      </c>
      <c r="B109" s="23"/>
      <c r="C109" s="34"/>
      <c r="D109" s="34"/>
      <c r="E109" s="34"/>
      <c r="F109" s="35"/>
      <c r="G109" s="34"/>
      <c r="H109" s="35"/>
      <c r="I109" s="35"/>
      <c r="J109" s="35"/>
      <c r="K109" s="35"/>
      <c r="L109" s="35"/>
      <c r="M109" s="3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0" t="s">
        <v>69</v>
      </c>
      <c r="B110" s="23"/>
      <c r="C110" s="34"/>
      <c r="D110" s="34"/>
      <c r="E110" s="34"/>
      <c r="F110" s="35"/>
      <c r="G110" s="34"/>
      <c r="H110" s="35"/>
      <c r="I110" s="35"/>
      <c r="J110" s="35"/>
      <c r="K110" s="35"/>
      <c r="L110" s="35"/>
      <c r="M110" s="35"/>
      <c r="N110" s="45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6">
        <v>43713</v>
      </c>
      <c r="B111" s="33">
        <v>2000</v>
      </c>
      <c r="C111" s="11"/>
      <c r="D111" s="11"/>
      <c r="E111" s="11"/>
      <c r="F111" s="11"/>
      <c r="G111" s="11"/>
      <c r="H111" s="33">
        <f>B111+C111+D111+E111+F111+G111</f>
        <v>2000</v>
      </c>
      <c r="I111" s="33"/>
      <c r="J111" s="33">
        <v>180</v>
      </c>
      <c r="K111" s="33"/>
      <c r="L111" s="33">
        <f>I111+J111+K111</f>
        <v>180</v>
      </c>
      <c r="M111" s="46">
        <f>H111-L111</f>
        <v>1820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8" t="s">
        <v>86</v>
      </c>
      <c r="B112" s="23"/>
      <c r="C112" s="34"/>
      <c r="D112" s="34"/>
      <c r="E112" s="34"/>
      <c r="F112" s="35"/>
      <c r="G112" s="34"/>
      <c r="H112" s="35"/>
      <c r="I112" s="35"/>
      <c r="J112" s="35"/>
      <c r="K112" s="35"/>
      <c r="L112" s="35"/>
      <c r="M112" s="3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0" t="s">
        <v>59</v>
      </c>
      <c r="B113" s="23"/>
      <c r="C113" s="34"/>
      <c r="D113" s="34"/>
      <c r="E113" s="34"/>
      <c r="F113" s="35"/>
      <c r="G113" s="34"/>
      <c r="H113" s="35"/>
      <c r="I113" s="35"/>
      <c r="J113" s="35"/>
      <c r="K113" s="35"/>
      <c r="L113" s="35"/>
      <c r="M113" s="35"/>
      <c r="N113" s="45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6">
        <v>43762</v>
      </c>
      <c r="B114" s="33">
        <v>533.33000000000004</v>
      </c>
      <c r="C114" s="11"/>
      <c r="D114" s="11"/>
      <c r="E114" s="11"/>
      <c r="F114" s="11"/>
      <c r="G114" s="11"/>
      <c r="H114" s="33">
        <f>B114+C114+D114+E114+F114+G114</f>
        <v>533.33000000000004</v>
      </c>
      <c r="I114" s="33"/>
      <c r="J114" s="33">
        <v>42.66</v>
      </c>
      <c r="K114" s="33"/>
      <c r="L114" s="33">
        <f>I114+J114+K114</f>
        <v>42.66</v>
      </c>
      <c r="M114" s="46">
        <f>H114-L114</f>
        <v>490.67000000000007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4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7:G49"/>
    <mergeCell ref="H47:H49"/>
    <mergeCell ref="J47:J49"/>
    <mergeCell ref="K47:K49"/>
    <mergeCell ref="L47:L49"/>
    <mergeCell ref="M47:M49"/>
    <mergeCell ref="C47:C49"/>
    <mergeCell ref="D47:D49"/>
    <mergeCell ref="E47:E49"/>
    <mergeCell ref="F47:F49"/>
    <mergeCell ref="I47:I49"/>
    <mergeCell ref="M97:M99"/>
    <mergeCell ref="B47:B4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</mergeCells>
  <pageMargins left="0.51181102362204722" right="0.51181102362204722" top="0.73" bottom="0.27559055118110237" header="0" footer="0"/>
  <pageSetup paperSize="9" orientation="landscape"/>
  <rowBreaks count="2" manualBreakCount="2">
    <brk id="89" man="1"/>
    <brk id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0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87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91" t="s">
        <v>2</v>
      </c>
      <c r="B4" s="102" t="s">
        <v>3</v>
      </c>
      <c r="C4" s="102" t="s">
        <v>4</v>
      </c>
      <c r="D4" s="99" t="s">
        <v>5</v>
      </c>
      <c r="E4" s="99" t="s">
        <v>6</v>
      </c>
      <c r="F4" s="99" t="s">
        <v>7</v>
      </c>
      <c r="G4" s="102" t="s">
        <v>8</v>
      </c>
      <c r="H4" s="99" t="s">
        <v>9</v>
      </c>
      <c r="I4" s="102" t="s">
        <v>10</v>
      </c>
      <c r="J4" s="102" t="s">
        <v>11</v>
      </c>
      <c r="K4" s="99" t="s">
        <v>12</v>
      </c>
      <c r="L4" s="99" t="s">
        <v>13</v>
      </c>
      <c r="M4" s="99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90" t="s">
        <v>15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92" t="s">
        <v>16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2" t="s">
        <v>17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/>
      <c r="L16" s="33">
        <f>SUM(I16:K16)</f>
        <v>387.45</v>
      </c>
      <c r="M16" s="33">
        <f>H16-L16</f>
        <v>2612.5500000000002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8" t="s">
        <v>88</v>
      </c>
      <c r="B32" s="12"/>
      <c r="C32" s="12"/>
      <c r="D32" s="12"/>
      <c r="E32" s="12"/>
      <c r="F32" s="12"/>
      <c r="G32" s="12"/>
      <c r="H32" s="23"/>
      <c r="I32" s="23"/>
      <c r="J32" s="23"/>
      <c r="K32" s="23"/>
      <c r="L32" s="23"/>
      <c r="M32" s="23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0" t="s">
        <v>69</v>
      </c>
      <c r="B33" s="12"/>
      <c r="C33" s="12"/>
      <c r="D33" s="12"/>
      <c r="E33" s="12"/>
      <c r="F33" s="12"/>
      <c r="G33" s="12"/>
      <c r="H33" s="23"/>
      <c r="I33" s="23"/>
      <c r="J33" s="23"/>
      <c r="K33" s="23"/>
      <c r="L33" s="23"/>
      <c r="M33" s="2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43788</v>
      </c>
      <c r="B34" s="11">
        <v>800</v>
      </c>
      <c r="C34" s="11"/>
      <c r="D34" s="11"/>
      <c r="E34" s="11"/>
      <c r="F34" s="11"/>
      <c r="G34" s="11"/>
      <c r="H34" s="33">
        <f>B34+C34+D34+E34+F34+G34</f>
        <v>800</v>
      </c>
      <c r="I34" s="33"/>
      <c r="J34" s="33">
        <v>64</v>
      </c>
      <c r="K34" s="33">
        <f>120+48</f>
        <v>168</v>
      </c>
      <c r="L34" s="33">
        <f>I34+J34+K34</f>
        <v>232</v>
      </c>
      <c r="M34" s="33">
        <f>H34-L34</f>
        <v>568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61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47" t="s">
        <v>26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43678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499.72</v>
      </c>
      <c r="J37" s="33">
        <v>642.33000000000004</v>
      </c>
      <c r="K37" s="33">
        <v>190</v>
      </c>
      <c r="L37" s="33">
        <f>I37+J37+K37</f>
        <v>1332.0500000000002</v>
      </c>
      <c r="M37" s="33">
        <f>H37-L37</f>
        <v>4667.95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62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82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43703</v>
      </c>
      <c r="B40" s="11">
        <v>2200</v>
      </c>
      <c r="C40" s="11"/>
      <c r="D40" s="11"/>
      <c r="E40" s="11"/>
      <c r="F40" s="11"/>
      <c r="G40" s="11"/>
      <c r="H40" s="33">
        <f>B40+C40+D40+E40+F40+G40</f>
        <v>2200</v>
      </c>
      <c r="I40" s="33"/>
      <c r="J40" s="33">
        <v>198</v>
      </c>
      <c r="K40" s="33">
        <v>132</v>
      </c>
      <c r="L40" s="33">
        <f>I40+J40+K40</f>
        <v>330</v>
      </c>
      <c r="M40" s="33">
        <f>H40-L40</f>
        <v>1870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09" t="s">
        <v>0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87</v>
      </c>
      <c r="B42" s="89">
        <v>2019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91" t="s">
        <v>2</v>
      </c>
      <c r="B44" s="102" t="s">
        <v>3</v>
      </c>
      <c r="C44" s="102" t="s">
        <v>4</v>
      </c>
      <c r="D44" s="99" t="s">
        <v>5</v>
      </c>
      <c r="E44" s="99" t="s">
        <v>6</v>
      </c>
      <c r="F44" s="99" t="s">
        <v>7</v>
      </c>
      <c r="G44" s="102" t="s">
        <v>8</v>
      </c>
      <c r="H44" s="99" t="s">
        <v>9</v>
      </c>
      <c r="I44" s="102" t="s">
        <v>10</v>
      </c>
      <c r="J44" s="102" t="s">
        <v>11</v>
      </c>
      <c r="K44" s="99" t="s">
        <v>12</v>
      </c>
      <c r="L44" s="99" t="s">
        <v>13</v>
      </c>
      <c r="M44" s="99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2" t="s">
        <v>16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2" t="s">
        <v>17</v>
      </c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29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30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11">
        <v>6000</v>
      </c>
      <c r="C50" s="11"/>
      <c r="D50" s="11"/>
      <c r="E50" s="11"/>
      <c r="F50" s="11"/>
      <c r="G50" s="11"/>
      <c r="H50" s="33">
        <f>B50+C50+D50+E50+F50+G50</f>
        <v>6000</v>
      </c>
      <c r="I50" s="33">
        <v>700.79</v>
      </c>
      <c r="J50" s="33">
        <v>290.38</v>
      </c>
      <c r="K50" s="33"/>
      <c r="L50" s="33">
        <f>I50+J50+K50</f>
        <v>991.17</v>
      </c>
      <c r="M50" s="33">
        <f>H50-L50</f>
        <v>5008.83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31</v>
      </c>
      <c r="B51" s="12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32</v>
      </c>
      <c r="B52" s="12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 x14ac:dyDescent="0.25">
      <c r="A53" s="94">
        <v>43507</v>
      </c>
      <c r="B53" s="95">
        <v>7000</v>
      </c>
      <c r="C53" s="95"/>
      <c r="D53" s="95"/>
      <c r="E53" s="95"/>
      <c r="F53" s="95"/>
      <c r="G53" s="95"/>
      <c r="H53" s="33">
        <f>B53+C53+D53+E53+F53+G53</f>
        <v>7000</v>
      </c>
      <c r="I53" s="33">
        <v>774.72</v>
      </c>
      <c r="J53" s="33">
        <v>642.33000000000004</v>
      </c>
      <c r="K53" s="33"/>
      <c r="L53" s="33">
        <f>I53+J53+K53</f>
        <v>1417.0500000000002</v>
      </c>
      <c r="M53" s="33">
        <f>H53-L53</f>
        <v>5582.95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83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84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customHeight="1" x14ac:dyDescent="0.25">
      <c r="A56" s="94">
        <v>43745</v>
      </c>
      <c r="B56" s="95">
        <v>2000</v>
      </c>
      <c r="C56" s="95"/>
      <c r="D56" s="95"/>
      <c r="E56" s="95"/>
      <c r="F56" s="95"/>
      <c r="G56" s="95"/>
      <c r="H56" s="33">
        <f>B56+C56+D56+E56+F56+G56</f>
        <v>2000</v>
      </c>
      <c r="I56" s="33"/>
      <c r="J56" s="33">
        <v>180</v>
      </c>
      <c r="K56" s="33">
        <v>120</v>
      </c>
      <c r="L56" s="33">
        <f>I56+J56+K56</f>
        <v>300</v>
      </c>
      <c r="M56" s="33">
        <f>H56-L56</f>
        <v>1700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5" t="s">
        <v>33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47" t="s">
        <v>73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5" t="s">
        <v>69</v>
      </c>
      <c r="B59" s="12"/>
      <c r="C59" s="12"/>
      <c r="D59" s="12"/>
      <c r="E59" s="12"/>
      <c r="F59" s="12"/>
      <c r="G59" s="12"/>
      <c r="H59" s="23"/>
      <c r="I59" s="23"/>
      <c r="J59" s="23"/>
      <c r="K59" s="23"/>
      <c r="L59" s="23"/>
      <c r="M59" s="23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6">
        <v>43712</v>
      </c>
      <c r="B60" s="11">
        <v>2000</v>
      </c>
      <c r="C60" s="11"/>
      <c r="D60" s="11"/>
      <c r="E60" s="11"/>
      <c r="F60" s="11"/>
      <c r="G60" s="11"/>
      <c r="H60" s="33">
        <f>SUM(B60:G60)</f>
        <v>2000</v>
      </c>
      <c r="I60" s="33"/>
      <c r="J60" s="33">
        <v>180</v>
      </c>
      <c r="K60" s="33">
        <v>120</v>
      </c>
      <c r="L60" s="33">
        <f>SUM(I60:K60)</f>
        <v>300</v>
      </c>
      <c r="M60" s="33">
        <f>H60-L60</f>
        <v>1700</v>
      </c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7" t="s">
        <v>34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35</v>
      </c>
      <c r="B62" s="12"/>
      <c r="C62" s="12"/>
      <c r="D62" s="12"/>
      <c r="E62" s="12"/>
      <c r="F62" s="12"/>
      <c r="G62" s="12"/>
      <c r="H62" s="23"/>
      <c r="I62" s="23"/>
      <c r="J62" s="23"/>
      <c r="K62" s="23"/>
      <c r="L62" s="23"/>
      <c r="M62" s="23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43525</v>
      </c>
      <c r="B63" s="11">
        <v>6000</v>
      </c>
      <c r="C63" s="11"/>
      <c r="D63" s="11"/>
      <c r="E63" s="11"/>
      <c r="F63" s="11"/>
      <c r="G63" s="11"/>
      <c r="H63" s="33">
        <f>SUM(B63:G63)</f>
        <v>6000</v>
      </c>
      <c r="I63" s="33">
        <v>551.86</v>
      </c>
      <c r="J63" s="33">
        <v>642.33000000000004</v>
      </c>
      <c r="K63" s="33"/>
      <c r="L63" s="33">
        <f>SUM(I63:K63)</f>
        <v>1194.19</v>
      </c>
      <c r="M63" s="33">
        <f>H63-L63</f>
        <v>4805.8099999999995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36</v>
      </c>
      <c r="B64" s="12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69</v>
      </c>
      <c r="B65" s="12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43507</v>
      </c>
      <c r="B66" s="33">
        <v>2000</v>
      </c>
      <c r="C66" s="11"/>
      <c r="D66" s="11"/>
      <c r="E66" s="11"/>
      <c r="F66" s="11"/>
      <c r="G66" s="11">
        <v>500</v>
      </c>
      <c r="H66" s="33">
        <f>B66+C66+D66+E66+F66+G66</f>
        <v>2500</v>
      </c>
      <c r="I66" s="33">
        <v>27.83</v>
      </c>
      <c r="J66" s="33">
        <v>225</v>
      </c>
      <c r="K66" s="33">
        <f>120</f>
        <v>120</v>
      </c>
      <c r="L66" s="33">
        <f>I66+J66+K66</f>
        <v>372.83</v>
      </c>
      <c r="M66" s="33">
        <f>H66-L66</f>
        <v>2127.17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37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43507</v>
      </c>
      <c r="B69" s="33">
        <v>1400</v>
      </c>
      <c r="C69" s="11"/>
      <c r="D69" s="11"/>
      <c r="E69" s="11"/>
      <c r="F69" s="11"/>
      <c r="G69" s="11"/>
      <c r="H69" s="33">
        <f>B69+C69+D69+E69+F69+G69</f>
        <v>1400</v>
      </c>
      <c r="I69" s="33"/>
      <c r="J69" s="33">
        <v>112</v>
      </c>
      <c r="K69" s="33">
        <f>84</f>
        <v>84</v>
      </c>
      <c r="L69" s="33">
        <f>I69+J69+K69</f>
        <v>196</v>
      </c>
      <c r="M69" s="33">
        <f>H69-L69</f>
        <v>1204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39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47" t="s">
        <v>74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43507</v>
      </c>
      <c r="B72" s="33">
        <v>4200</v>
      </c>
      <c r="C72" s="11"/>
      <c r="D72" s="11"/>
      <c r="E72" s="11"/>
      <c r="F72" s="11"/>
      <c r="G72" s="11"/>
      <c r="H72" s="33">
        <f>B72+C72+D72+E72+F72+G72</f>
        <v>4200</v>
      </c>
      <c r="I72" s="33">
        <v>149.02000000000001</v>
      </c>
      <c r="J72" s="33">
        <v>462</v>
      </c>
      <c r="K72" s="33"/>
      <c r="L72" s="33">
        <f>I72+J72+K72</f>
        <v>611.02</v>
      </c>
      <c r="M72" s="33">
        <f>H72-L72</f>
        <v>3588.98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8" t="s">
        <v>41</v>
      </c>
      <c r="B73" s="23"/>
      <c r="C73" s="12"/>
      <c r="D73" s="12"/>
      <c r="E73" s="12"/>
      <c r="F73" s="12"/>
      <c r="G73" s="12"/>
      <c r="H73" s="23"/>
      <c r="I73" s="23"/>
      <c r="J73" s="23"/>
      <c r="K73" s="23"/>
      <c r="L73" s="23"/>
      <c r="M73" s="23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0" t="s">
        <v>38</v>
      </c>
      <c r="B74" s="23"/>
      <c r="C74" s="12"/>
      <c r="D74" s="12"/>
      <c r="E74" s="12"/>
      <c r="F74" s="12"/>
      <c r="G74" s="12"/>
      <c r="H74" s="23"/>
      <c r="I74" s="23"/>
      <c r="J74" s="23"/>
      <c r="K74" s="23"/>
      <c r="L74" s="23"/>
      <c r="M74" s="23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0">
        <v>43557</v>
      </c>
      <c r="B75" s="23">
        <v>1400</v>
      </c>
      <c r="C75" s="12"/>
      <c r="D75" s="12"/>
      <c r="E75" s="12"/>
      <c r="F75" s="12"/>
      <c r="G75" s="12"/>
      <c r="H75" s="23">
        <f>SUM(B75:G75)</f>
        <v>1400</v>
      </c>
      <c r="I75" s="23"/>
      <c r="J75" s="23">
        <v>112</v>
      </c>
      <c r="K75" s="23">
        <v>84</v>
      </c>
      <c r="L75" s="23">
        <f>I75+J75+K75</f>
        <v>196</v>
      </c>
      <c r="M75" s="23">
        <f>H75-L75</f>
        <v>1204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5" t="s">
        <v>42</v>
      </c>
      <c r="B76" s="37"/>
      <c r="C76" s="26"/>
      <c r="D76" s="26"/>
      <c r="E76" s="26"/>
      <c r="F76" s="26"/>
      <c r="G76" s="26"/>
      <c r="H76" s="37"/>
      <c r="I76" s="37"/>
      <c r="J76" s="37"/>
      <c r="K76" s="37"/>
      <c r="L76" s="37"/>
      <c r="M76" s="37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63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69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43697</v>
      </c>
      <c r="B79" s="33">
        <v>2000</v>
      </c>
      <c r="C79" s="11"/>
      <c r="D79" s="11"/>
      <c r="E79" s="11"/>
      <c r="F79" s="11"/>
      <c r="G79" s="11"/>
      <c r="H79" s="33">
        <f>SUM(B79:G79)</f>
        <v>2000</v>
      </c>
      <c r="I79" s="33"/>
      <c r="J79" s="33">
        <v>180</v>
      </c>
      <c r="K79" s="33">
        <v>0</v>
      </c>
      <c r="L79" s="33">
        <f>I79+J79+K79</f>
        <v>180</v>
      </c>
      <c r="M79" s="3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09" t="s">
        <v>0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0" t="s">
        <v>87</v>
      </c>
      <c r="B81" s="89">
        <v>2019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1" t="s">
        <v>2</v>
      </c>
      <c r="B83" s="102" t="s">
        <v>3</v>
      </c>
      <c r="C83" s="102" t="s">
        <v>4</v>
      </c>
      <c r="D83" s="99" t="s">
        <v>5</v>
      </c>
      <c r="E83" s="99" t="s">
        <v>6</v>
      </c>
      <c r="F83" s="99" t="s">
        <v>7</v>
      </c>
      <c r="G83" s="102" t="s">
        <v>8</v>
      </c>
      <c r="H83" s="99" t="s">
        <v>9</v>
      </c>
      <c r="I83" s="102" t="s">
        <v>10</v>
      </c>
      <c r="J83" s="102" t="s">
        <v>11</v>
      </c>
      <c r="K83" s="99" t="s">
        <v>12</v>
      </c>
      <c r="L83" s="99" t="s">
        <v>13</v>
      </c>
      <c r="M83" s="99" t="s">
        <v>14</v>
      </c>
      <c r="N83" s="5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0" t="s">
        <v>15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5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92" t="s">
        <v>16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5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43</v>
      </c>
      <c r="B86" s="23"/>
      <c r="C86" s="34"/>
      <c r="D86" s="34"/>
      <c r="E86" s="34"/>
      <c r="F86" s="35"/>
      <c r="G86" s="34"/>
      <c r="H86" s="36"/>
      <c r="I86" s="36"/>
      <c r="J86" s="36"/>
      <c r="K86" s="36"/>
      <c r="L86" s="36"/>
      <c r="M86" s="36"/>
      <c r="N86" s="5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5" t="s">
        <v>44</v>
      </c>
      <c r="B87" s="23"/>
      <c r="C87" s="34"/>
      <c r="D87" s="34"/>
      <c r="E87" s="34"/>
      <c r="F87" s="35"/>
      <c r="G87" s="34"/>
      <c r="H87" s="36"/>
      <c r="I87" s="36"/>
      <c r="J87" s="36"/>
      <c r="K87" s="36"/>
      <c r="L87" s="36"/>
      <c r="M87" s="36"/>
      <c r="N87" s="5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43535</v>
      </c>
      <c r="B88" s="33">
        <v>3000</v>
      </c>
      <c r="C88" s="11"/>
      <c r="D88" s="11"/>
      <c r="E88" s="11"/>
      <c r="F88" s="11"/>
      <c r="G88" s="11"/>
      <c r="H88" s="33">
        <f>B88+C88+D88+E88+F88+G88</f>
        <v>3000</v>
      </c>
      <c r="I88" s="33">
        <v>29.01</v>
      </c>
      <c r="J88" s="33">
        <v>330</v>
      </c>
      <c r="K88" s="33"/>
      <c r="L88" s="33">
        <f>I88+J88+K88</f>
        <v>359.01</v>
      </c>
      <c r="M88" s="33">
        <f>H88-L88</f>
        <v>2640.99</v>
      </c>
      <c r="N88" s="5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28" t="s">
        <v>45</v>
      </c>
      <c r="B89" s="37"/>
      <c r="C89" s="38"/>
      <c r="D89" s="38"/>
      <c r="E89" s="38"/>
      <c r="F89" s="39"/>
      <c r="G89" s="38"/>
      <c r="H89" s="40"/>
      <c r="I89" s="40"/>
      <c r="J89" s="40"/>
      <c r="K89" s="40"/>
      <c r="L89" s="40"/>
      <c r="M89" s="40"/>
      <c r="N89" s="5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3" t="s">
        <v>46</v>
      </c>
      <c r="B90" s="23"/>
      <c r="C90" s="34"/>
      <c r="D90" s="34"/>
      <c r="E90" s="34"/>
      <c r="F90" s="35"/>
      <c r="G90" s="34"/>
      <c r="H90" s="36"/>
      <c r="I90" s="36"/>
      <c r="J90" s="36"/>
      <c r="K90" s="36"/>
      <c r="L90" s="36"/>
      <c r="M90" s="36"/>
      <c r="N90" s="5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5" t="s">
        <v>44</v>
      </c>
      <c r="B91" s="23"/>
      <c r="C91" s="34"/>
      <c r="D91" s="34"/>
      <c r="E91" s="34"/>
      <c r="F91" s="35"/>
      <c r="G91" s="34"/>
      <c r="H91" s="36"/>
      <c r="I91" s="36"/>
      <c r="J91" s="36"/>
      <c r="K91" s="36"/>
      <c r="L91" s="36"/>
      <c r="M91" s="36"/>
      <c r="N91" s="5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6">
        <v>43535</v>
      </c>
      <c r="B92" s="33">
        <v>3000</v>
      </c>
      <c r="C92" s="11"/>
      <c r="D92" s="11"/>
      <c r="E92" s="11"/>
      <c r="F92" s="11"/>
      <c r="G92" s="11"/>
      <c r="H92" s="33">
        <f>B92+C92+D92+E92+F92+G92</f>
        <v>3000</v>
      </c>
      <c r="I92" s="33">
        <v>43.23</v>
      </c>
      <c r="J92" s="33">
        <v>330</v>
      </c>
      <c r="K92" s="33"/>
      <c r="L92" s="33">
        <f>I92+J92+K92</f>
        <v>373.23</v>
      </c>
      <c r="M92" s="33">
        <f>H92-L92</f>
        <v>2626.77</v>
      </c>
      <c r="N92" s="5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8" t="s">
        <v>47</v>
      </c>
      <c r="B93" s="23"/>
      <c r="C93" s="12"/>
      <c r="D93" s="12"/>
      <c r="E93" s="12"/>
      <c r="F93" s="12"/>
      <c r="G93" s="12"/>
      <c r="H93" s="23"/>
      <c r="I93" s="23"/>
      <c r="J93" s="23"/>
      <c r="K93" s="23"/>
      <c r="L93" s="23"/>
      <c r="M93" s="23"/>
      <c r="N93" s="5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0" t="s">
        <v>69</v>
      </c>
      <c r="B94" s="23"/>
      <c r="C94" s="12"/>
      <c r="D94" s="12"/>
      <c r="E94" s="12"/>
      <c r="F94" s="12"/>
      <c r="G94" s="12"/>
      <c r="H94" s="23"/>
      <c r="I94" s="23"/>
      <c r="J94" s="23"/>
      <c r="K94" s="23"/>
      <c r="L94" s="23"/>
      <c r="M94" s="23"/>
      <c r="N94" s="5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0">
        <v>43567</v>
      </c>
      <c r="B95" s="23">
        <v>2000</v>
      </c>
      <c r="C95" s="12"/>
      <c r="D95" s="12"/>
      <c r="E95" s="12"/>
      <c r="F95" s="12"/>
      <c r="G95" s="12"/>
      <c r="H95" s="23">
        <f>SUM(B95:G95)</f>
        <v>2000</v>
      </c>
      <c r="I95" s="23"/>
      <c r="J95" s="23">
        <v>180</v>
      </c>
      <c r="K95" s="23"/>
      <c r="L95" s="23">
        <f>SUM(I95:K95)</f>
        <v>180</v>
      </c>
      <c r="M95" s="23">
        <f>H95-L95</f>
        <v>1820</v>
      </c>
      <c r="N95" s="5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28" t="s">
        <v>48</v>
      </c>
      <c r="B96" s="37"/>
      <c r="C96" s="38"/>
      <c r="D96" s="38"/>
      <c r="E96" s="38"/>
      <c r="F96" s="39"/>
      <c r="G96" s="38"/>
      <c r="H96" s="39"/>
      <c r="I96" s="39"/>
      <c r="J96" s="39"/>
      <c r="K96" s="39"/>
      <c r="L96" s="39"/>
      <c r="M96" s="3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8" t="s">
        <v>49</v>
      </c>
      <c r="B97" s="23"/>
      <c r="C97" s="34"/>
      <c r="D97" s="34"/>
      <c r="E97" s="34"/>
      <c r="F97" s="35"/>
      <c r="G97" s="34"/>
      <c r="H97" s="35"/>
      <c r="I97" s="35"/>
      <c r="J97" s="35"/>
      <c r="K97" s="35"/>
      <c r="L97" s="35"/>
      <c r="M97" s="3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5" t="s">
        <v>69</v>
      </c>
      <c r="B98" s="23"/>
      <c r="C98" s="34"/>
      <c r="D98" s="34"/>
      <c r="E98" s="34"/>
      <c r="F98" s="35"/>
      <c r="G98" s="34"/>
      <c r="H98" s="35"/>
      <c r="I98" s="35"/>
      <c r="J98" s="35"/>
      <c r="K98" s="35"/>
      <c r="L98" s="35"/>
      <c r="M98" s="3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6">
        <v>43535</v>
      </c>
      <c r="B99" s="33">
        <v>2000</v>
      </c>
      <c r="C99" s="11"/>
      <c r="D99" s="11"/>
      <c r="E99" s="11"/>
      <c r="F99" s="11"/>
      <c r="G99" s="11"/>
      <c r="H99" s="33">
        <f>B99+C99+D99+E99+F99+G99</f>
        <v>2000</v>
      </c>
      <c r="I99" s="33"/>
      <c r="J99" s="33">
        <v>180</v>
      </c>
      <c r="K99" s="33">
        <v>0</v>
      </c>
      <c r="L99" s="33">
        <f>SUM(I99:K99)</f>
        <v>180</v>
      </c>
      <c r="M99" s="33">
        <f>H99-L99</f>
        <v>1820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8" t="s">
        <v>75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5" t="s">
        <v>38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6">
        <v>43718</v>
      </c>
      <c r="B102" s="33">
        <v>1400</v>
      </c>
      <c r="C102" s="11"/>
      <c r="D102" s="11"/>
      <c r="E102" s="11"/>
      <c r="F102" s="11"/>
      <c r="G102" s="11"/>
      <c r="H102" s="33">
        <f>B102+C102+D102+E102+F102+G102</f>
        <v>1400</v>
      </c>
      <c r="I102" s="33"/>
      <c r="J102" s="33">
        <v>112</v>
      </c>
      <c r="K102" s="33">
        <v>0</v>
      </c>
      <c r="L102" s="33">
        <f>SUM(I102:K102)</f>
        <v>112</v>
      </c>
      <c r="M102" s="33">
        <f>H102-L102</f>
        <v>1288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28" t="s">
        <v>50</v>
      </c>
      <c r="B103" s="37"/>
      <c r="C103" s="38"/>
      <c r="D103" s="38"/>
      <c r="E103" s="38"/>
      <c r="F103" s="39"/>
      <c r="G103" s="38"/>
      <c r="H103" s="39"/>
      <c r="I103" s="39"/>
      <c r="J103" s="39"/>
      <c r="K103" s="39"/>
      <c r="L103" s="39"/>
      <c r="M103" s="3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8" t="s">
        <v>51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5" t="s">
        <v>52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94">
        <v>43556</v>
      </c>
      <c r="B106" s="96">
        <v>4000</v>
      </c>
      <c r="C106" s="95"/>
      <c r="D106" s="95"/>
      <c r="E106" s="95"/>
      <c r="F106" s="95"/>
      <c r="G106" s="95"/>
      <c r="H106" s="96">
        <f>B106+C106+D106+E106+F106+G106</f>
        <v>4000</v>
      </c>
      <c r="I106" s="96">
        <v>122.32</v>
      </c>
      <c r="J106" s="96">
        <v>440</v>
      </c>
      <c r="K106" s="96"/>
      <c r="L106" s="96">
        <f>I106+J106+K106</f>
        <v>562.31999999999994</v>
      </c>
      <c r="M106" s="96">
        <f>H106-L106</f>
        <v>3437.6800000000003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8" t="s">
        <v>85</v>
      </c>
      <c r="B107" s="23"/>
      <c r="C107" s="34"/>
      <c r="D107" s="34"/>
      <c r="E107" s="34"/>
      <c r="F107" s="35"/>
      <c r="G107" s="34"/>
      <c r="H107" s="35"/>
      <c r="I107" s="35"/>
      <c r="J107" s="35"/>
      <c r="K107" s="35"/>
      <c r="L107" s="35"/>
      <c r="M107" s="3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5" t="s">
        <v>69</v>
      </c>
      <c r="B108" s="23"/>
      <c r="C108" s="34"/>
      <c r="D108" s="34"/>
      <c r="E108" s="34"/>
      <c r="F108" s="35"/>
      <c r="G108" s="34"/>
      <c r="H108" s="35"/>
      <c r="I108" s="35"/>
      <c r="J108" s="35"/>
      <c r="K108" s="35"/>
      <c r="L108" s="35"/>
      <c r="M108" s="3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94">
        <v>43753</v>
      </c>
      <c r="B109" s="96">
        <v>2000</v>
      </c>
      <c r="C109" s="95"/>
      <c r="D109" s="95"/>
      <c r="E109" s="95"/>
      <c r="F109" s="95"/>
      <c r="G109" s="95"/>
      <c r="H109" s="96">
        <f>B109+C109+D109+E109+F109+G109</f>
        <v>2000</v>
      </c>
      <c r="I109" s="96"/>
      <c r="J109" s="96">
        <v>180</v>
      </c>
      <c r="K109" s="96">
        <v>120</v>
      </c>
      <c r="L109" s="96">
        <f>I109+J109+K109</f>
        <v>300</v>
      </c>
      <c r="M109" s="96">
        <f>H109-L109</f>
        <v>1700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91" t="s">
        <v>2</v>
      </c>
      <c r="B110" s="111" t="s">
        <v>3</v>
      </c>
      <c r="C110" s="111" t="s">
        <v>4</v>
      </c>
      <c r="D110" s="110" t="s">
        <v>5</v>
      </c>
      <c r="E110" s="110" t="s">
        <v>6</v>
      </c>
      <c r="F110" s="110" t="s">
        <v>7</v>
      </c>
      <c r="G110" s="111" t="s">
        <v>8</v>
      </c>
      <c r="H110" s="110" t="s">
        <v>9</v>
      </c>
      <c r="I110" s="111" t="s">
        <v>10</v>
      </c>
      <c r="J110" s="111" t="s">
        <v>11</v>
      </c>
      <c r="K110" s="110" t="s">
        <v>12</v>
      </c>
      <c r="L110" s="110" t="s">
        <v>13</v>
      </c>
      <c r="M110" s="110" t="s">
        <v>14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90" t="s">
        <v>15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93" t="s">
        <v>16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41" t="s">
        <v>64</v>
      </c>
      <c r="B113" s="42"/>
      <c r="C113" s="43"/>
      <c r="D113" s="43"/>
      <c r="E113" s="43"/>
      <c r="F113" s="44"/>
      <c r="G113" s="43"/>
      <c r="H113" s="44"/>
      <c r="I113" s="44"/>
      <c r="J113" s="44"/>
      <c r="K113" s="44"/>
      <c r="L113" s="44"/>
      <c r="M113" s="4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8" t="s">
        <v>65</v>
      </c>
      <c r="B114" s="23"/>
      <c r="C114" s="34"/>
      <c r="D114" s="34"/>
      <c r="E114" s="34"/>
      <c r="F114" s="35"/>
      <c r="G114" s="34"/>
      <c r="H114" s="35"/>
      <c r="I114" s="35"/>
      <c r="J114" s="35"/>
      <c r="K114" s="35"/>
      <c r="L114" s="35"/>
      <c r="M114" s="3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0" t="s">
        <v>69</v>
      </c>
      <c r="B115" s="23"/>
      <c r="C115" s="34"/>
      <c r="D115" s="34"/>
      <c r="E115" s="34"/>
      <c r="F115" s="35"/>
      <c r="G115" s="34"/>
      <c r="H115" s="35"/>
      <c r="I115" s="35"/>
      <c r="J115" s="35"/>
      <c r="K115" s="35"/>
      <c r="L115" s="35"/>
      <c r="M115" s="35"/>
      <c r="N115" s="45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6">
        <v>43697</v>
      </c>
      <c r="B116" s="33">
        <v>2000</v>
      </c>
      <c r="C116" s="11"/>
      <c r="D116" s="11"/>
      <c r="E116" s="11"/>
      <c r="F116" s="11"/>
      <c r="G116" s="11"/>
      <c r="H116" s="33">
        <f>B116+C116+D116+E116+F116+G116</f>
        <v>2000</v>
      </c>
      <c r="I116" s="33">
        <v>0</v>
      </c>
      <c r="J116" s="33">
        <v>180</v>
      </c>
      <c r="K116" s="33"/>
      <c r="L116" s="33">
        <f>I116+J116+K116</f>
        <v>180</v>
      </c>
      <c r="M116" s="33">
        <f>H116-L116</f>
        <v>1820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41" t="s">
        <v>76</v>
      </c>
      <c r="B117" s="42"/>
      <c r="C117" s="43"/>
      <c r="D117" s="43"/>
      <c r="E117" s="43"/>
      <c r="F117" s="44"/>
      <c r="G117" s="43"/>
      <c r="H117" s="44"/>
      <c r="I117" s="44"/>
      <c r="J117" s="44"/>
      <c r="K117" s="44"/>
      <c r="L117" s="44"/>
      <c r="M117" s="4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8" t="s">
        <v>77</v>
      </c>
      <c r="B118" s="23"/>
      <c r="C118" s="34"/>
      <c r="D118" s="34"/>
      <c r="E118" s="34"/>
      <c r="F118" s="35"/>
      <c r="G118" s="34"/>
      <c r="H118" s="35"/>
      <c r="I118" s="35"/>
      <c r="J118" s="35"/>
      <c r="K118" s="35"/>
      <c r="L118" s="35"/>
      <c r="M118" s="3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0" t="s">
        <v>69</v>
      </c>
      <c r="B119" s="23"/>
      <c r="C119" s="34"/>
      <c r="D119" s="34"/>
      <c r="E119" s="34"/>
      <c r="F119" s="35"/>
      <c r="G119" s="34"/>
      <c r="H119" s="35"/>
      <c r="I119" s="35"/>
      <c r="J119" s="35"/>
      <c r="K119" s="35"/>
      <c r="L119" s="35"/>
      <c r="M119" s="35"/>
      <c r="N119" s="45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6">
        <v>43712</v>
      </c>
      <c r="B120" s="33">
        <v>2000</v>
      </c>
      <c r="C120" s="11"/>
      <c r="D120" s="11"/>
      <c r="E120" s="11"/>
      <c r="F120" s="11"/>
      <c r="G120" s="11"/>
      <c r="H120" s="33">
        <f>B120+C120+D120+E120+F120+G120</f>
        <v>2000</v>
      </c>
      <c r="I120" s="33"/>
      <c r="J120" s="33">
        <v>180</v>
      </c>
      <c r="K120" s="33"/>
      <c r="L120" s="33">
        <f>I120+J120+K120</f>
        <v>180</v>
      </c>
      <c r="M120" s="33">
        <f>H120-L120</f>
        <v>1820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41" t="s">
        <v>78</v>
      </c>
      <c r="B121" s="42"/>
      <c r="C121" s="43"/>
      <c r="D121" s="43"/>
      <c r="E121" s="43"/>
      <c r="F121" s="44"/>
      <c r="G121" s="43"/>
      <c r="H121" s="44"/>
      <c r="I121" s="44"/>
      <c r="J121" s="44"/>
      <c r="K121" s="44"/>
      <c r="L121" s="44"/>
      <c r="M121" s="4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8" t="s">
        <v>89</v>
      </c>
      <c r="B122" s="23"/>
      <c r="C122" s="34"/>
      <c r="D122" s="34"/>
      <c r="E122" s="34"/>
      <c r="F122" s="35"/>
      <c r="G122" s="34"/>
      <c r="H122" s="35"/>
      <c r="I122" s="35"/>
      <c r="J122" s="35"/>
      <c r="K122" s="35"/>
      <c r="L122" s="35"/>
      <c r="M122" s="3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0" t="s">
        <v>69</v>
      </c>
      <c r="B123" s="23"/>
      <c r="C123" s="34"/>
      <c r="D123" s="34"/>
      <c r="E123" s="34"/>
      <c r="F123" s="35"/>
      <c r="G123" s="34"/>
      <c r="H123" s="35"/>
      <c r="I123" s="35"/>
      <c r="J123" s="35"/>
      <c r="K123" s="35"/>
      <c r="L123" s="35"/>
      <c r="M123" s="35"/>
      <c r="N123" s="45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6">
        <v>43713</v>
      </c>
      <c r="B124" s="33">
        <v>2000</v>
      </c>
      <c r="C124" s="11"/>
      <c r="D124" s="11"/>
      <c r="E124" s="11"/>
      <c r="F124" s="11"/>
      <c r="G124" s="11"/>
      <c r="H124" s="33">
        <f>B124+C124+D124+E124+F124+G124</f>
        <v>2000</v>
      </c>
      <c r="I124" s="33"/>
      <c r="J124" s="33">
        <v>180</v>
      </c>
      <c r="K124" s="33"/>
      <c r="L124" s="33">
        <f>I124+J124+K124</f>
        <v>180</v>
      </c>
      <c r="M124" s="33">
        <f>H124-L124</f>
        <v>1820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8" t="s">
        <v>86</v>
      </c>
      <c r="B125" s="23"/>
      <c r="C125" s="34"/>
      <c r="D125" s="34"/>
      <c r="E125" s="34"/>
      <c r="F125" s="35"/>
      <c r="G125" s="34"/>
      <c r="H125" s="35"/>
      <c r="I125" s="35"/>
      <c r="J125" s="35"/>
      <c r="K125" s="35"/>
      <c r="L125" s="35"/>
      <c r="M125" s="3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0" t="s">
        <v>59</v>
      </c>
      <c r="B126" s="23"/>
      <c r="C126" s="34"/>
      <c r="D126" s="34"/>
      <c r="E126" s="34"/>
      <c r="F126" s="35"/>
      <c r="G126" s="34"/>
      <c r="H126" s="35"/>
      <c r="I126" s="35"/>
      <c r="J126" s="35"/>
      <c r="K126" s="35"/>
      <c r="L126" s="35"/>
      <c r="M126" s="35"/>
      <c r="N126" s="45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6">
        <v>43762</v>
      </c>
      <c r="B127" s="33">
        <v>2000</v>
      </c>
      <c r="C127" s="11"/>
      <c r="D127" s="11"/>
      <c r="E127" s="11"/>
      <c r="F127" s="11"/>
      <c r="G127" s="11"/>
      <c r="H127" s="33">
        <f>B127+C127+D127+E127+F127+G127</f>
        <v>2000</v>
      </c>
      <c r="I127" s="33"/>
      <c r="J127" s="33">
        <v>180</v>
      </c>
      <c r="K127" s="33"/>
      <c r="L127" s="33">
        <f>I127+J127+K127</f>
        <v>180</v>
      </c>
      <c r="M127" s="33">
        <f>H127-L127</f>
        <v>1820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4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4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"/>
    <row r="329" spans="1:33" ht="15.75" customHeight="1" x14ac:dyDescent="0.2"/>
    <row r="330" spans="1:33" ht="15.75" customHeight="1" x14ac:dyDescent="0.2"/>
    <row r="331" spans="1:33" ht="15.75" customHeight="1" x14ac:dyDescent="0.2"/>
    <row r="332" spans="1:33" ht="15.75" customHeight="1" x14ac:dyDescent="0.2"/>
    <row r="333" spans="1:33" ht="15.75" customHeight="1" x14ac:dyDescent="0.2"/>
    <row r="334" spans="1:33" ht="15.75" customHeight="1" x14ac:dyDescent="0.2"/>
    <row r="335" spans="1:33" ht="15.75" customHeight="1" x14ac:dyDescent="0.2"/>
    <row r="336" spans="1:33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3">
    <mergeCell ref="B47:M47"/>
    <mergeCell ref="A80:M80"/>
    <mergeCell ref="B83:B85"/>
    <mergeCell ref="C83:C85"/>
    <mergeCell ref="D83:D85"/>
    <mergeCell ref="E83:E85"/>
    <mergeCell ref="H83:H85"/>
    <mergeCell ref="I83:I85"/>
    <mergeCell ref="J83:J85"/>
    <mergeCell ref="M83:M85"/>
    <mergeCell ref="K83:K85"/>
    <mergeCell ref="L83:L85"/>
    <mergeCell ref="F83:F85"/>
    <mergeCell ref="G83:G85"/>
    <mergeCell ref="B7:M7"/>
    <mergeCell ref="A41:M41"/>
    <mergeCell ref="B44:B46"/>
    <mergeCell ref="C44:C46"/>
    <mergeCell ref="D44:D46"/>
    <mergeCell ref="E44:E46"/>
    <mergeCell ref="F44:F46"/>
    <mergeCell ref="M44:M46"/>
    <mergeCell ref="G44:G46"/>
    <mergeCell ref="H44:H46"/>
    <mergeCell ref="I44:I46"/>
    <mergeCell ref="J44:J46"/>
    <mergeCell ref="K44:K46"/>
    <mergeCell ref="L44:L46"/>
    <mergeCell ref="E110:E112"/>
    <mergeCell ref="F110:F112"/>
    <mergeCell ref="L110:L112"/>
    <mergeCell ref="M110:M112"/>
    <mergeCell ref="H110:H112"/>
    <mergeCell ref="I110:I112"/>
    <mergeCell ref="J110:J112"/>
    <mergeCell ref="K110:K112"/>
    <mergeCell ref="G110:G112"/>
    <mergeCell ref="B110:B112"/>
    <mergeCell ref="C110:C112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D110:D112"/>
  </mergeCells>
  <pageMargins left="0.511811024" right="0.511811024" top="0.78740157499999996" bottom="0.78740157499999996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33"/>
  <sheetViews>
    <sheetView zoomScaleNormal="100" workbookViewId="0">
      <selection sqref="A1:L1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109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91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102" t="s">
        <v>3</v>
      </c>
      <c r="C3" s="102" t="s">
        <v>92</v>
      </c>
      <c r="D3" s="99" t="s">
        <v>93</v>
      </c>
      <c r="E3" s="112" t="s">
        <v>8</v>
      </c>
      <c r="F3" s="115" t="s">
        <v>94</v>
      </c>
      <c r="G3" s="115" t="s">
        <v>9</v>
      </c>
      <c r="H3" s="102" t="s">
        <v>11</v>
      </c>
      <c r="I3" s="102" t="s">
        <v>95</v>
      </c>
      <c r="J3" s="99" t="s">
        <v>12</v>
      </c>
      <c r="K3" s="99" t="s">
        <v>13</v>
      </c>
      <c r="L3" s="9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100"/>
      <c r="C4" s="100"/>
      <c r="D4" s="100"/>
      <c r="E4" s="113"/>
      <c r="F4" s="100"/>
      <c r="G4" s="100"/>
      <c r="H4" s="100"/>
      <c r="I4" s="100"/>
      <c r="J4" s="100"/>
      <c r="K4" s="100"/>
      <c r="L4" s="10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108"/>
      <c r="C5" s="108"/>
      <c r="D5" s="108"/>
      <c r="E5" s="114"/>
      <c r="F5" s="108"/>
      <c r="G5" s="108"/>
      <c r="H5" s="108"/>
      <c r="I5" s="108"/>
      <c r="J5" s="108"/>
      <c r="K5" s="108"/>
      <c r="L5" s="10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1806.45</v>
      </c>
      <c r="C9" s="55"/>
      <c r="D9" s="55"/>
      <c r="E9" s="67"/>
      <c r="F9" s="68"/>
      <c r="G9" s="69">
        <f>SUM(B9:F9)</f>
        <v>1806.45</v>
      </c>
      <c r="H9" s="56">
        <v>125.26</v>
      </c>
      <c r="I9" s="56">
        <v>0</v>
      </c>
      <c r="J9" s="56">
        <f>26+212.67</f>
        <v>238.67</v>
      </c>
      <c r="K9" s="56">
        <f>SUM(H9:J9)</f>
        <v>363.93</v>
      </c>
      <c r="L9" s="56">
        <f>G9-K9</f>
        <v>1442.52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1675.23</v>
      </c>
      <c r="C12" s="55">
        <v>30.89</v>
      </c>
      <c r="D12" s="55"/>
      <c r="E12" s="67"/>
      <c r="F12" s="68"/>
      <c r="G12" s="69">
        <f>SUM(B12:F12)</f>
        <v>1706.1200000000001</v>
      </c>
      <c r="H12" s="56">
        <v>139.87</v>
      </c>
      <c r="I12" s="56"/>
      <c r="J12" s="56">
        <f>60+1.98+66.85</f>
        <v>128.82999999999998</v>
      </c>
      <c r="K12" s="56">
        <f>SUM(H12:J12)</f>
        <v>268.7</v>
      </c>
      <c r="L12" s="56">
        <f>G12-K12</f>
        <v>1437.42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102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3458.87</v>
      </c>
      <c r="C15" s="55">
        <v>56.64</v>
      </c>
      <c r="D15" s="55">
        <v>69.180000000000007</v>
      </c>
      <c r="E15" s="67"/>
      <c r="F15" s="68"/>
      <c r="G15" s="69">
        <f>SUM(B15:F15)</f>
        <v>3584.6899999999996</v>
      </c>
      <c r="H15" s="56">
        <v>367.11</v>
      </c>
      <c r="I15" s="56">
        <v>127.84</v>
      </c>
      <c r="J15" s="56">
        <f>60+2.2+229.53</f>
        <v>291.73</v>
      </c>
      <c r="K15" s="56">
        <f>H15+I15+J15</f>
        <v>786.68000000000006</v>
      </c>
      <c r="L15" s="56">
        <f>G15-K15</f>
        <v>2798.0099999999993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2617.38</v>
      </c>
      <c r="C18" s="55">
        <f>5254.12+798.22</f>
        <v>6052.34</v>
      </c>
      <c r="D18" s="55">
        <v>52.35</v>
      </c>
      <c r="E18" s="67">
        <v>1177.82</v>
      </c>
      <c r="F18" s="68"/>
      <c r="G18" s="69">
        <f>SUM(B18:F18)</f>
        <v>9899.8900000000012</v>
      </c>
      <c r="H18" s="56">
        <f>109.52+640.05</f>
        <v>749.56999999999994</v>
      </c>
      <c r="I18" s="56">
        <f>371.35+299.21</f>
        <v>670.56</v>
      </c>
      <c r="J18" s="56">
        <f>60+0.66+26.71</f>
        <v>87.37</v>
      </c>
      <c r="K18" s="56">
        <f>H18+I18+J18</f>
        <v>1507.5</v>
      </c>
      <c r="L18" s="56">
        <f>G18-K18</f>
        <v>8392.3900000000012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60+2.2</f>
        <v>62.2</v>
      </c>
      <c r="K21" s="56">
        <f>H21+I21+J21</f>
        <v>503.5</v>
      </c>
      <c r="L21" s="56">
        <f>G21-K21</f>
        <v>3075.44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1623.62</v>
      </c>
      <c r="C24" s="56">
        <v>26.07</v>
      </c>
      <c r="D24" s="56"/>
      <c r="E24" s="69"/>
      <c r="F24" s="74"/>
      <c r="G24" s="69">
        <f>SUM(B24:F24)</f>
        <v>1649.6899999999998</v>
      </c>
      <c r="H24" s="56">
        <v>133.38</v>
      </c>
      <c r="I24" s="59"/>
      <c r="J24" s="56">
        <f>60+2.2+97.15+26.71</f>
        <v>186.06000000000003</v>
      </c>
      <c r="K24" s="56">
        <f>SUM(H24:J24)</f>
        <v>319.44000000000005</v>
      </c>
      <c r="L24" s="56">
        <f>G24-K24</f>
        <v>1330.2499999999998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3458.87</v>
      </c>
      <c r="C27" s="56">
        <v>55.53</v>
      </c>
      <c r="D27" s="56"/>
      <c r="E27" s="69"/>
      <c r="F27" s="74"/>
      <c r="G27" s="69">
        <f>SUM(B27:F27)</f>
        <v>3514.4</v>
      </c>
      <c r="H27" s="56">
        <v>356.7</v>
      </c>
      <c r="I27" s="59">
        <v>118.86</v>
      </c>
      <c r="J27" s="56">
        <f>60+2.2+123.12+53.42</f>
        <v>238.74</v>
      </c>
      <c r="K27" s="56">
        <f>SUM(H27:J27)</f>
        <v>714.3</v>
      </c>
      <c r="L27" s="56">
        <f>G27-K27</f>
        <v>2800.1000000000004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1737.27</v>
      </c>
      <c r="C30" s="55">
        <v>27.89</v>
      </c>
      <c r="D30" s="55"/>
      <c r="E30" s="67"/>
      <c r="F30" s="68"/>
      <c r="G30" s="69">
        <f>SUM(B30:F30)</f>
        <v>1765.16</v>
      </c>
      <c r="H30" s="56">
        <v>143.99</v>
      </c>
      <c r="I30" s="56"/>
      <c r="J30" s="56">
        <f>60+2.2</f>
        <v>62.2</v>
      </c>
      <c r="K30" s="56">
        <f>SUM(H30:J30)</f>
        <v>206.19</v>
      </c>
      <c r="L30" s="56">
        <f>G30-K30</f>
        <v>1558.97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1522.2</v>
      </c>
      <c r="C33" s="55"/>
      <c r="D33" s="55"/>
      <c r="E33" s="67"/>
      <c r="F33" s="68"/>
      <c r="G33" s="69">
        <f>SUM(B33:F33)</f>
        <v>1522.2</v>
      </c>
      <c r="H33" s="56">
        <v>118.81</v>
      </c>
      <c r="I33" s="56"/>
      <c r="J33" s="56">
        <v>24</v>
      </c>
      <c r="K33" s="56">
        <f>SUM(H33:J33)</f>
        <v>142.81</v>
      </c>
      <c r="L33" s="56">
        <f>G33-K33</f>
        <v>1379.39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1737.27</v>
      </c>
      <c r="C36" s="55">
        <v>27.89</v>
      </c>
      <c r="D36" s="55"/>
      <c r="E36" s="67"/>
      <c r="F36" s="68"/>
      <c r="G36" s="69">
        <f>SUM(B36:F36)</f>
        <v>1765.16</v>
      </c>
      <c r="H36" s="59">
        <v>143.99</v>
      </c>
      <c r="I36" s="56"/>
      <c r="J36" s="59">
        <f>60+2.2+90.21+26.71</f>
        <v>179.12</v>
      </c>
      <c r="K36" s="56">
        <f>SUM(H36:J36)</f>
        <v>323.11</v>
      </c>
      <c r="L36" s="56">
        <f>G36-K36</f>
        <v>1442.0500000000002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1240.9100000000001</v>
      </c>
      <c r="C39" s="55">
        <f>40.44+1100.24</f>
        <v>1140.68</v>
      </c>
      <c r="D39" s="55"/>
      <c r="E39" s="67">
        <v>558.41</v>
      </c>
      <c r="F39" s="68"/>
      <c r="G39" s="69">
        <f>SUM(B39:F39)</f>
        <v>2940</v>
      </c>
      <c r="H39" s="56">
        <f>194.01+84.17</f>
        <v>278.18</v>
      </c>
      <c r="I39" s="56"/>
      <c r="J39" s="56">
        <f>19.23+60+1.98+127.45</f>
        <v>208.66000000000003</v>
      </c>
      <c r="K39" s="56">
        <f>H39+I39+J39</f>
        <v>486.84000000000003</v>
      </c>
      <c r="L39" s="56">
        <f>G39-K39</f>
        <v>2453.16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1737.27</v>
      </c>
      <c r="C42" s="56">
        <v>27.89</v>
      </c>
      <c r="D42" s="56"/>
      <c r="E42" s="69">
        <v>446.73</v>
      </c>
      <c r="F42" s="74"/>
      <c r="G42" s="69">
        <f>SUM(B42:F42)</f>
        <v>2211.8900000000003</v>
      </c>
      <c r="H42" s="56">
        <v>184.34</v>
      </c>
      <c r="I42" s="56"/>
      <c r="J42" s="56">
        <f>60+2.2+120.45+19.23</f>
        <v>201.88</v>
      </c>
      <c r="K42" s="56">
        <f>H42+I42+J42</f>
        <v>386.22</v>
      </c>
      <c r="L42" s="56">
        <f>G42-K42</f>
        <v>1825.6700000000003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1478.65</v>
      </c>
      <c r="C45" s="56">
        <v>52.13</v>
      </c>
      <c r="D45" s="56"/>
      <c r="E45" s="69"/>
      <c r="F45" s="74"/>
      <c r="G45" s="69">
        <f>SUM(B45:F45)</f>
        <v>1530.7800000000002</v>
      </c>
      <c r="H45" s="56">
        <v>125.26</v>
      </c>
      <c r="I45" s="56"/>
      <c r="J45" s="56">
        <f>60+2.2+133.55</f>
        <v>195.75</v>
      </c>
      <c r="K45" s="56">
        <f>H45+I45+J45</f>
        <v>321.01</v>
      </c>
      <c r="L45" s="56">
        <f>G45-K45</f>
        <v>1209.7700000000002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2607.1799999999998</v>
      </c>
      <c r="C49" s="55">
        <v>61.53</v>
      </c>
      <c r="D49" s="55">
        <v>52.14</v>
      </c>
      <c r="E49" s="67">
        <v>1173.23</v>
      </c>
      <c r="F49" s="67"/>
      <c r="G49" s="69">
        <f>SUM(B49:F49)</f>
        <v>3894.08</v>
      </c>
      <c r="H49" s="56">
        <v>412.94</v>
      </c>
      <c r="I49" s="56">
        <v>167.37</v>
      </c>
      <c r="J49" s="56">
        <f>60+2.2+126.81</f>
        <v>189.01</v>
      </c>
      <c r="K49" s="56">
        <f>H49+I49+J49</f>
        <v>769.31999999999994</v>
      </c>
      <c r="L49" s="56">
        <f>G49-K49</f>
        <v>3124.76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1623.62</v>
      </c>
      <c r="C52" s="55">
        <v>26.07</v>
      </c>
      <c r="D52" s="55"/>
      <c r="E52" s="67"/>
      <c r="F52" s="67"/>
      <c r="G52" s="69">
        <f>SUM(B52:F52)</f>
        <v>1649.6899999999998</v>
      </c>
      <c r="H52" s="56">
        <v>133.38</v>
      </c>
      <c r="I52" s="56"/>
      <c r="J52" s="56">
        <f>60+2.2</f>
        <v>62.2</v>
      </c>
      <c r="K52" s="56">
        <f>H52+I52+J52</f>
        <v>195.57999999999998</v>
      </c>
      <c r="L52" s="56">
        <f>G52-K52</f>
        <v>1454.11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1866.58</v>
      </c>
      <c r="C55" s="55">
        <v>26.07</v>
      </c>
      <c r="D55" s="55"/>
      <c r="E55" s="67"/>
      <c r="F55" s="67"/>
      <c r="G55" s="69">
        <f>SUM(B55:F55)</f>
        <v>1892.6499999999999</v>
      </c>
      <c r="H55" s="56">
        <v>155.24</v>
      </c>
      <c r="I55" s="56"/>
      <c r="J55" s="56">
        <f>19.23+60+2.09+97.15</f>
        <v>178.47000000000003</v>
      </c>
      <c r="K55" s="56">
        <f>H55+I55+J55</f>
        <v>333.71000000000004</v>
      </c>
      <c r="L55" s="56">
        <f>G55-K55</f>
        <v>1558.9399999999998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125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126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39783</v>
      </c>
      <c r="B58" s="55">
        <v>2607.1799999999998</v>
      </c>
      <c r="C58" s="55">
        <v>61.53</v>
      </c>
      <c r="D58" s="55">
        <v>52.14</v>
      </c>
      <c r="E58" s="67">
        <v>1173.23</v>
      </c>
      <c r="F58" s="67"/>
      <c r="G58" s="69">
        <f>SUM(B58:F58)</f>
        <v>3894.08</v>
      </c>
      <c r="H58" s="56">
        <v>412.94</v>
      </c>
      <c r="I58" s="56">
        <v>167.37</v>
      </c>
      <c r="J58" s="56">
        <f>60+2.2+666.46+80.13</f>
        <v>808.79000000000008</v>
      </c>
      <c r="K58" s="56">
        <f>H58+I58+J58</f>
        <v>1389.1</v>
      </c>
      <c r="L58" s="56">
        <f>G58-K58</f>
        <v>2504.98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09" t="s">
        <v>90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91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102" t="s">
        <v>3</v>
      </c>
      <c r="C66" s="102" t="s">
        <v>92</v>
      </c>
      <c r="D66" s="99" t="s">
        <v>93</v>
      </c>
      <c r="E66" s="112" t="s">
        <v>8</v>
      </c>
      <c r="F66" s="115" t="s">
        <v>94</v>
      </c>
      <c r="G66" s="115" t="s">
        <v>9</v>
      </c>
      <c r="H66" s="102" t="s">
        <v>11</v>
      </c>
      <c r="I66" s="102" t="s">
        <v>95</v>
      </c>
      <c r="J66" s="99" t="s">
        <v>12</v>
      </c>
      <c r="K66" s="99" t="s">
        <v>13</v>
      </c>
      <c r="L66" s="99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100"/>
      <c r="C67" s="100"/>
      <c r="D67" s="100"/>
      <c r="E67" s="113"/>
      <c r="F67" s="100"/>
      <c r="G67" s="100"/>
      <c r="H67" s="100"/>
      <c r="I67" s="100"/>
      <c r="J67" s="100"/>
      <c r="K67" s="100"/>
      <c r="L67" s="100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108"/>
      <c r="C68" s="108"/>
      <c r="D68" s="108"/>
      <c r="E68" s="114"/>
      <c r="F68" s="108"/>
      <c r="G68" s="108"/>
      <c r="H68" s="108"/>
      <c r="I68" s="108"/>
      <c r="J68" s="108"/>
      <c r="K68" s="108"/>
      <c r="L68" s="10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3" t="s">
        <v>127</v>
      </c>
      <c r="B70" s="57"/>
      <c r="C70" s="60"/>
      <c r="D70" s="60"/>
      <c r="E70" s="76"/>
      <c r="F70" s="77"/>
      <c r="G70" s="78"/>
      <c r="H70" s="61"/>
      <c r="I70" s="61"/>
      <c r="J70" s="61"/>
      <c r="K70" s="61"/>
      <c r="L70" s="61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" t="s">
        <v>116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43325</v>
      </c>
      <c r="B72" s="55">
        <v>1737.27</v>
      </c>
      <c r="C72" s="55">
        <v>38.700000000000003</v>
      </c>
      <c r="D72" s="55"/>
      <c r="E72" s="67">
        <v>781.78</v>
      </c>
      <c r="F72" s="67"/>
      <c r="G72" s="69">
        <f>SUM(B72:F72)</f>
        <v>2557.75</v>
      </c>
      <c r="H72" s="56">
        <v>230.38</v>
      </c>
      <c r="I72" s="56">
        <v>31.75</v>
      </c>
      <c r="J72" s="56">
        <f>60+2.2+66.85+26.71</f>
        <v>155.76000000000002</v>
      </c>
      <c r="K72" s="56">
        <f>H72+I72+J72</f>
        <v>417.89</v>
      </c>
      <c r="L72" s="56">
        <f>G72-K72</f>
        <v>2139.86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8" t="s">
        <v>128</v>
      </c>
      <c r="B73" s="57"/>
      <c r="C73" s="57"/>
      <c r="D73" s="57"/>
      <c r="E73" s="70"/>
      <c r="F73" s="70"/>
      <c r="G73" s="66"/>
      <c r="H73" s="54"/>
      <c r="I73" s="54"/>
      <c r="J73" s="54"/>
      <c r="K73" s="54"/>
      <c r="L73" s="54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0" t="s">
        <v>116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6">
        <v>43325</v>
      </c>
      <c r="B75" s="55">
        <v>1737.27</v>
      </c>
      <c r="C75" s="55">
        <v>40.44</v>
      </c>
      <c r="D75" s="55"/>
      <c r="E75" s="67">
        <v>781.77</v>
      </c>
      <c r="F75" s="68"/>
      <c r="G75" s="69">
        <f>SUM(B75:F75)</f>
        <v>2559.48</v>
      </c>
      <c r="H75" s="56">
        <v>230.51</v>
      </c>
      <c r="I75" s="56">
        <v>31.87</v>
      </c>
      <c r="J75" s="56">
        <f>19.23+60+2.2+318.39</f>
        <v>399.82</v>
      </c>
      <c r="K75" s="56">
        <f>H75+I75+J75</f>
        <v>662.2</v>
      </c>
      <c r="L75" s="56">
        <f>G75-K75</f>
        <v>1897.28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28" t="s">
        <v>129</v>
      </c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3" t="s">
        <v>130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131</v>
      </c>
      <c r="B78" s="57"/>
      <c r="C78" s="60"/>
      <c r="D78" s="60"/>
      <c r="E78" s="76"/>
      <c r="F78" s="77"/>
      <c r="G78" s="78"/>
      <c r="H78" s="61"/>
      <c r="I78" s="61"/>
      <c r="J78" s="61"/>
      <c r="K78" s="61"/>
      <c r="L78" s="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Bot="1" x14ac:dyDescent="0.3">
      <c r="A79" s="50">
        <v>44509</v>
      </c>
      <c r="B79" s="55">
        <v>2663.52</v>
      </c>
      <c r="C79" s="55"/>
      <c r="D79" s="55"/>
      <c r="E79" s="67"/>
      <c r="F79" s="67"/>
      <c r="G79" s="69">
        <f>SUM(B79:F79)</f>
        <v>2663.52</v>
      </c>
      <c r="H79" s="56">
        <v>228.62</v>
      </c>
      <c r="I79" s="56">
        <v>39.82</v>
      </c>
      <c r="J79" s="56">
        <f>26.64+60+2.2</f>
        <v>88.84</v>
      </c>
      <c r="K79" s="56">
        <f>H79+I79+J79</f>
        <v>357.28</v>
      </c>
      <c r="L79" s="56">
        <f>G79-K79</f>
        <v>2306.2399999999998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thickTop="1" x14ac:dyDescent="0.25">
      <c r="A80" s="8" t="s">
        <v>132</v>
      </c>
      <c r="B80" s="12"/>
      <c r="C80" s="12"/>
      <c r="D80" s="12"/>
      <c r="E80" s="12"/>
      <c r="F80" s="12"/>
      <c r="G80" s="23"/>
      <c r="H80" s="23"/>
      <c r="I80" s="23"/>
      <c r="J80" s="23"/>
      <c r="K80" s="23"/>
      <c r="L80" s="23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133</v>
      </c>
      <c r="B81" s="57"/>
      <c r="C81" s="57"/>
      <c r="D81" s="57"/>
      <c r="E81" s="70"/>
      <c r="F81" s="70"/>
      <c r="G81" s="66"/>
      <c r="H81" s="54"/>
      <c r="I81" s="54"/>
      <c r="J81" s="54"/>
      <c r="K81" s="54"/>
      <c r="L81" s="54"/>
      <c r="M81" s="52"/>
      <c r="N81" s="1"/>
      <c r="O81" s="1"/>
      <c r="P81" s="3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6.5" customHeight="1" thickBot="1" x14ac:dyDescent="0.3">
      <c r="A82" s="6">
        <v>43325</v>
      </c>
      <c r="B82" s="55">
        <v>2574.16</v>
      </c>
      <c r="C82" s="55">
        <v>41.32</v>
      </c>
      <c r="D82" s="55"/>
      <c r="E82" s="67">
        <v>1158.3699999999999</v>
      </c>
      <c r="F82" s="68"/>
      <c r="G82" s="69">
        <f>SUM(B82:F82)</f>
        <v>3773.85</v>
      </c>
      <c r="H82" s="56">
        <v>385.73</v>
      </c>
      <c r="I82" s="56">
        <v>96.54</v>
      </c>
      <c r="J82" s="56">
        <f>28.5+60+2.09+26.71</f>
        <v>117.30000000000001</v>
      </c>
      <c r="K82" s="56">
        <f>H82+I82+J82</f>
        <v>599.57000000000005</v>
      </c>
      <c r="L82" s="56">
        <f>G82-K82</f>
        <v>3174.2799999999997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28" t="s">
        <v>134</v>
      </c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8" t="s">
        <v>135</v>
      </c>
      <c r="B84" s="12"/>
      <c r="C84" s="12"/>
      <c r="D84" s="12"/>
      <c r="E84" s="12"/>
      <c r="F84" s="12"/>
      <c r="G84" s="23"/>
      <c r="H84" s="23"/>
      <c r="I84" s="23"/>
      <c r="J84" s="23"/>
      <c r="K84" s="23"/>
      <c r="L84" s="23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5" t="s">
        <v>136</v>
      </c>
      <c r="B85" s="57"/>
      <c r="C85" s="57"/>
      <c r="D85" s="57"/>
      <c r="E85" s="70"/>
      <c r="F85" s="70"/>
      <c r="G85" s="66"/>
      <c r="H85" s="54"/>
      <c r="I85" s="54"/>
      <c r="J85" s="54"/>
      <c r="K85" s="54"/>
      <c r="L85" s="54"/>
      <c r="M85" s="52"/>
      <c r="N85" s="1"/>
      <c r="O85" s="1"/>
      <c r="P85" s="3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6.5" customHeight="1" thickBot="1" x14ac:dyDescent="0.3">
      <c r="A86" s="6">
        <v>43675</v>
      </c>
      <c r="B86" s="55">
        <v>2574.16</v>
      </c>
      <c r="C86" s="55">
        <v>41.32</v>
      </c>
      <c r="D86" s="55"/>
      <c r="E86" s="67"/>
      <c r="F86" s="68"/>
      <c r="G86" s="69">
        <f>SUM(B86:F86)</f>
        <v>2615.48</v>
      </c>
      <c r="H86" s="56">
        <v>224.2</v>
      </c>
      <c r="I86" s="56">
        <v>28.21</v>
      </c>
      <c r="J86" s="56">
        <f>111.15+60+2.2+108.95</f>
        <v>282.3</v>
      </c>
      <c r="K86" s="56">
        <f>H86+I86+J86</f>
        <v>534.71</v>
      </c>
      <c r="L86" s="56">
        <f>G86-K86</f>
        <v>2080.77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Top="1" x14ac:dyDescent="0.25">
      <c r="A87" s="28" t="s">
        <v>137</v>
      </c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8" t="s">
        <v>138</v>
      </c>
      <c r="B88" s="12"/>
      <c r="C88" s="12"/>
      <c r="D88" s="12"/>
      <c r="E88" s="12"/>
      <c r="F88" s="12"/>
      <c r="G88" s="23"/>
      <c r="H88" s="23"/>
      <c r="I88" s="23"/>
      <c r="J88" s="23"/>
      <c r="K88" s="23"/>
      <c r="L88" s="23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5" t="s">
        <v>131</v>
      </c>
      <c r="B89" s="57"/>
      <c r="C89" s="57"/>
      <c r="D89" s="57"/>
      <c r="E89" s="70"/>
      <c r="F89" s="70"/>
      <c r="G89" s="66"/>
      <c r="H89" s="54"/>
      <c r="I89" s="54"/>
      <c r="J89" s="54"/>
      <c r="K89" s="54"/>
      <c r="L89" s="54"/>
      <c r="M89" s="52"/>
      <c r="N89" s="1"/>
      <c r="O89" s="1"/>
      <c r="P89" s="3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6.5" customHeight="1" thickBot="1" x14ac:dyDescent="0.3">
      <c r="A90" s="6">
        <v>44516</v>
      </c>
      <c r="B90" s="55">
        <v>2663.52</v>
      </c>
      <c r="C90" s="55"/>
      <c r="D90" s="55"/>
      <c r="E90" s="67"/>
      <c r="F90" s="68"/>
      <c r="G90" s="69">
        <f>SUM(B90:F90)</f>
        <v>2663.52</v>
      </c>
      <c r="H90" s="56">
        <v>228.62</v>
      </c>
      <c r="I90" s="56">
        <v>25.6</v>
      </c>
      <c r="J90" s="56">
        <f>60+2.2</f>
        <v>62.2</v>
      </c>
      <c r="K90" s="56">
        <f>H90+I90+J90</f>
        <v>316.42</v>
      </c>
      <c r="L90" s="56">
        <f>G90-K90</f>
        <v>2347.1</v>
      </c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28" t="s">
        <v>139</v>
      </c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140</v>
      </c>
      <c r="B92" s="57"/>
      <c r="C92" s="57"/>
      <c r="D92" s="57"/>
      <c r="E92" s="70"/>
      <c r="F92" s="79"/>
      <c r="G92" s="66"/>
      <c r="H92" s="54"/>
      <c r="I92" s="54"/>
      <c r="J92" s="54"/>
      <c r="K92" s="54"/>
      <c r="L92" s="54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0" t="s">
        <v>131</v>
      </c>
      <c r="B93" s="57"/>
      <c r="C93" s="57"/>
      <c r="D93" s="57"/>
      <c r="E93" s="70"/>
      <c r="F93" s="79"/>
      <c r="G93" s="66"/>
      <c r="H93" s="54"/>
      <c r="I93" s="54"/>
      <c r="J93" s="54"/>
      <c r="K93" s="54"/>
      <c r="L93" s="54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Bot="1" x14ac:dyDescent="0.3">
      <c r="A94" s="6">
        <v>44249</v>
      </c>
      <c r="B94" s="55">
        <v>2405.7600000000002</v>
      </c>
      <c r="C94" s="55">
        <v>38.619999999999997</v>
      </c>
      <c r="D94" s="55"/>
      <c r="E94" s="67"/>
      <c r="F94" s="68"/>
      <c r="G94" s="69">
        <f>SUM(B94:F94)</f>
        <v>2444.38</v>
      </c>
      <c r="H94" s="56">
        <v>216.05</v>
      </c>
      <c r="I94" s="56"/>
      <c r="J94" s="56">
        <f>60+2.2+118.73+26.71</f>
        <v>207.64000000000001</v>
      </c>
      <c r="K94" s="56">
        <f>H94+I94+J94</f>
        <v>423.69000000000005</v>
      </c>
      <c r="L94" s="56">
        <f>G94-K94</f>
        <v>2020.69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28" t="s">
        <v>141</v>
      </c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Bot="1" x14ac:dyDescent="0.3">
      <c r="A98" s="6">
        <v>44249</v>
      </c>
      <c r="B98" s="55">
        <v>2405.7600000000002</v>
      </c>
      <c r="C98" s="55">
        <v>38.619999999999997</v>
      </c>
      <c r="D98" s="55"/>
      <c r="E98" s="67"/>
      <c r="F98" s="68">
        <v>1183</v>
      </c>
      <c r="G98" s="69">
        <f>SUM(B98:F98)</f>
        <v>3627.38</v>
      </c>
      <c r="H98" s="56">
        <v>216.05</v>
      </c>
      <c r="I98" s="56">
        <v>24.32</v>
      </c>
      <c r="J98" s="56">
        <f>60+2.09</f>
        <v>62.09</v>
      </c>
      <c r="K98" s="56">
        <f>H98+I98+J98</f>
        <v>302.46000000000004</v>
      </c>
      <c r="L98" s="56">
        <f>G98-K98</f>
        <v>3324.92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 thickTop="1" x14ac:dyDescent="0.2">
      <c r="B99" s="62"/>
      <c r="C99" s="62"/>
      <c r="D99" s="62"/>
      <c r="E99" s="80"/>
      <c r="F99" s="80"/>
      <c r="G99" s="80"/>
      <c r="H99" s="62"/>
      <c r="I99" s="62"/>
      <c r="J99" s="62"/>
      <c r="K99" s="62"/>
      <c r="L99" s="62"/>
    </row>
    <row r="100" spans="1:32" ht="14.25" customHeight="1" x14ac:dyDescent="0.2">
      <c r="B100" s="62"/>
      <c r="C100" s="62"/>
      <c r="D100" s="62"/>
      <c r="E100" s="80"/>
      <c r="F100" s="80"/>
      <c r="G100" s="80"/>
      <c r="H100" s="62"/>
      <c r="I100" s="62"/>
      <c r="J100" s="62"/>
      <c r="K100" s="62"/>
      <c r="L100" s="62"/>
    </row>
    <row r="101" spans="1:32" ht="15" customHeight="1" x14ac:dyDescent="0.2">
      <c r="B101" s="63"/>
      <c r="C101" s="63"/>
      <c r="D101" s="63"/>
      <c r="E101" s="81"/>
      <c r="F101" s="81"/>
      <c r="G101" s="81"/>
      <c r="H101" s="63"/>
      <c r="I101" s="63"/>
      <c r="J101" s="63"/>
      <c r="K101" s="63"/>
      <c r="L101" s="63"/>
    </row>
    <row r="102" spans="1:32" ht="15" customHeight="1" x14ac:dyDescent="0.2">
      <c r="B102" s="63"/>
      <c r="C102" s="63"/>
      <c r="D102" s="63"/>
      <c r="E102" s="81"/>
      <c r="F102" s="81"/>
      <c r="G102" s="81"/>
      <c r="H102" s="63"/>
      <c r="I102" s="63"/>
      <c r="J102" s="63"/>
      <c r="K102" s="63"/>
      <c r="L102" s="63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2">
    <mergeCell ref="B91:L91"/>
    <mergeCell ref="B95:L95"/>
    <mergeCell ref="L66:L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69:L69"/>
    <mergeCell ref="B76:L76"/>
    <mergeCell ref="B83:L83"/>
    <mergeCell ref="B87:L87"/>
    <mergeCell ref="A64:L6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46:L46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39"/>
  <sheetViews>
    <sheetView topLeftCell="B76" zoomScaleNormal="100" workbookViewId="0">
      <selection activeCell="H85" sqref="H85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109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143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102" t="s">
        <v>3</v>
      </c>
      <c r="C3" s="102" t="s">
        <v>92</v>
      </c>
      <c r="D3" s="99" t="s">
        <v>93</v>
      </c>
      <c r="E3" s="112" t="s">
        <v>8</v>
      </c>
      <c r="F3" s="115" t="s">
        <v>94</v>
      </c>
      <c r="G3" s="115" t="s">
        <v>9</v>
      </c>
      <c r="H3" s="102" t="s">
        <v>11</v>
      </c>
      <c r="I3" s="102" t="s">
        <v>95</v>
      </c>
      <c r="J3" s="99" t="s">
        <v>12</v>
      </c>
      <c r="K3" s="99" t="s">
        <v>13</v>
      </c>
      <c r="L3" s="9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100"/>
      <c r="C4" s="100"/>
      <c r="D4" s="100"/>
      <c r="E4" s="113"/>
      <c r="F4" s="100"/>
      <c r="G4" s="100"/>
      <c r="H4" s="100"/>
      <c r="I4" s="100"/>
      <c r="J4" s="100"/>
      <c r="K4" s="100"/>
      <c r="L4" s="10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108"/>
      <c r="C5" s="108"/>
      <c r="D5" s="108"/>
      <c r="E5" s="114"/>
      <c r="F5" s="108"/>
      <c r="G5" s="108"/>
      <c r="H5" s="108"/>
      <c r="I5" s="108"/>
      <c r="J5" s="108"/>
      <c r="K5" s="108"/>
      <c r="L5" s="10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4000</v>
      </c>
      <c r="C9" s="55"/>
      <c r="D9" s="55"/>
      <c r="E9" s="67"/>
      <c r="F9" s="68"/>
      <c r="G9" s="69">
        <f>SUM(B9:F9)</f>
        <v>4000</v>
      </c>
      <c r="H9" s="56">
        <v>382.08</v>
      </c>
      <c r="I9" s="56">
        <v>144.35</v>
      </c>
      <c r="J9" s="56">
        <f>100.67+73.44+4.13</f>
        <v>178.24</v>
      </c>
      <c r="K9" s="56">
        <f>SUM(H9:J9)</f>
        <v>704.67</v>
      </c>
      <c r="L9" s="56">
        <f>G9-K9</f>
        <v>3295.33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1648.64</v>
      </c>
      <c r="C12" s="55"/>
      <c r="D12" s="55"/>
      <c r="E12" s="67"/>
      <c r="F12" s="68"/>
      <c r="G12" s="69">
        <f>SUM(B12:F12)</f>
        <v>1648.64</v>
      </c>
      <c r="H12" s="56">
        <v>134.97999999999999</v>
      </c>
      <c r="I12" s="56"/>
      <c r="J12" s="56">
        <f>60+0.99+66.85</f>
        <v>127.84</v>
      </c>
      <c r="K12" s="56">
        <f>SUM(H12:J12)</f>
        <v>262.82</v>
      </c>
      <c r="L12" s="56">
        <f>G12-K12</f>
        <v>1385.8200000000002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4087.96</v>
      </c>
      <c r="C15" s="55"/>
      <c r="D15" s="55">
        <v>81.760000000000005</v>
      </c>
      <c r="E15" s="67"/>
      <c r="F15" s="68"/>
      <c r="G15" s="69">
        <f>SUM(B15:F15)</f>
        <v>4169.72</v>
      </c>
      <c r="H15" s="56">
        <v>419.93</v>
      </c>
      <c r="I15" s="56">
        <v>207.67</v>
      </c>
      <c r="J15" s="56">
        <f>60+2.09+408.3</f>
        <v>470.39</v>
      </c>
      <c r="K15" s="56">
        <f>H15+I15+J15</f>
        <v>1097.99</v>
      </c>
      <c r="L15" s="56">
        <f>G15-K15</f>
        <v>3071.7300000000005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6149.85</v>
      </c>
      <c r="C18" s="55"/>
      <c r="D18" s="55">
        <v>123</v>
      </c>
      <c r="E18" s="67">
        <v>2767.43</v>
      </c>
      <c r="F18" s="68"/>
      <c r="G18" s="69">
        <f>SUM(B18:F18)</f>
        <v>9040.2800000000007</v>
      </c>
      <c r="H18" s="56">
        <v>828.38</v>
      </c>
      <c r="I18" s="56">
        <v>1284.6400000000001</v>
      </c>
      <c r="J18" s="56">
        <f>60+2.09+26.71</f>
        <v>88.800000000000011</v>
      </c>
      <c r="K18" s="56">
        <f>H18+I18+J18</f>
        <v>2201.8200000000002</v>
      </c>
      <c r="L18" s="56">
        <f>G18-K18</f>
        <v>6838.4600000000009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60+2.09+280.68</f>
        <v>342.77</v>
      </c>
      <c r="K21" s="56">
        <f>H21+I21+J21</f>
        <v>784.06999999999994</v>
      </c>
      <c r="L21" s="56">
        <f>G21-K21</f>
        <v>2794.87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60+2.09+107.15+26.71</f>
        <v>195.95000000000002</v>
      </c>
      <c r="K24" s="56">
        <f>SUM(H24:J24)</f>
        <v>339.55</v>
      </c>
      <c r="L24" s="56">
        <f>G24-K24</f>
        <v>1458.03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1857.14</v>
      </c>
      <c r="C27" s="56"/>
      <c r="D27" s="56"/>
      <c r="E27" s="69"/>
      <c r="F27" s="74"/>
      <c r="G27" s="69">
        <f>SUM(B27:F27)</f>
        <v>1857.14</v>
      </c>
      <c r="H27" s="56">
        <v>148.96</v>
      </c>
      <c r="I27" s="59"/>
      <c r="J27" s="56"/>
      <c r="K27" s="56">
        <f>SUM(H27:J27)</f>
        <v>148.96</v>
      </c>
      <c r="L27" s="56">
        <f>G27-K27</f>
        <v>1708.18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74"/>
      <c r="G30" s="69">
        <f>SUM(B30:F30)</f>
        <v>3829.46</v>
      </c>
      <c r="H30" s="56">
        <v>372.3</v>
      </c>
      <c r="I30" s="59">
        <v>163.77000000000001</v>
      </c>
      <c r="J30" s="56">
        <f>60+1.65+142.45+53.42</f>
        <v>257.52</v>
      </c>
      <c r="K30" s="56">
        <f>SUM(H30:J30)</f>
        <v>793.59</v>
      </c>
      <c r="L30" s="56">
        <f>G30-K30</f>
        <v>3035.87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60+1.76</f>
        <v>61.76</v>
      </c>
      <c r="K33" s="56">
        <f>SUM(H33:J33)</f>
        <v>216.67999999999998</v>
      </c>
      <c r="L33" s="56">
        <f>G33-K33</f>
        <v>1706.73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335.9</v>
      </c>
      <c r="I36" s="56">
        <v>128.44999999999999</v>
      </c>
      <c r="J36" s="56">
        <f>60+3.08+35.44+21.35</f>
        <v>119.87</v>
      </c>
      <c r="K36" s="56">
        <f>SUM(H36:J36)</f>
        <v>584.22</v>
      </c>
      <c r="L36" s="56">
        <f>G36-K36</f>
        <v>2994.7200000000003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9">
        <v>154.91999999999999</v>
      </c>
      <c r="I39" s="56"/>
      <c r="J39" s="59">
        <f>60+1.98+90.21+26.71</f>
        <v>178.9</v>
      </c>
      <c r="K39" s="56">
        <f>SUM(H39:J39)</f>
        <v>333.82</v>
      </c>
      <c r="L39" s="56">
        <f>G39-K39</f>
        <v>2551.2999999999997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1786.02</v>
      </c>
      <c r="C42" s="55"/>
      <c r="D42" s="55"/>
      <c r="E42" s="67">
        <v>803.71</v>
      </c>
      <c r="F42" s="68"/>
      <c r="G42" s="69">
        <f>SUM(B42:F42)</f>
        <v>2589.73</v>
      </c>
      <c r="H42" s="56">
        <v>229.67</v>
      </c>
      <c r="I42" s="56">
        <v>34.200000000000003</v>
      </c>
      <c r="J42" s="56">
        <f>19.23+60+1.21+618.48</f>
        <v>698.92000000000007</v>
      </c>
      <c r="K42" s="56">
        <f>H42+I42+J42</f>
        <v>962.79000000000008</v>
      </c>
      <c r="L42" s="56">
        <f>G42-K42</f>
        <v>1626.94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1923.41</v>
      </c>
      <c r="C45" s="56"/>
      <c r="D45" s="56"/>
      <c r="E45" s="69">
        <v>61.82</v>
      </c>
      <c r="F45" s="74"/>
      <c r="G45" s="69">
        <f>SUM(B45:F45)</f>
        <v>1985.23</v>
      </c>
      <c r="H45" s="56">
        <v>160.49</v>
      </c>
      <c r="I45" s="56"/>
      <c r="J45" s="56">
        <f>19.23+60+1.32+90.21</f>
        <v>170.76</v>
      </c>
      <c r="K45" s="56">
        <f>H45+I45+J45</f>
        <v>331.25</v>
      </c>
      <c r="L45" s="56">
        <f>G45-K45</f>
        <v>1653.98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60+2.09+133.55</f>
        <v>195.64000000000001</v>
      </c>
      <c r="K48" s="56">
        <f>H48+I48+J48</f>
        <v>339.24</v>
      </c>
      <c r="L48" s="56">
        <f>G48-K48</f>
        <v>1458.34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f>60+2.09+126.81</f>
        <v>188.9</v>
      </c>
      <c r="K52" s="56">
        <f>H52+I52+J52</f>
        <v>840.91</v>
      </c>
      <c r="L52" s="56">
        <f>G52-K52</f>
        <v>3402.2800000000007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137.27000000000001</v>
      </c>
      <c r="I55" s="56"/>
      <c r="J55" s="56">
        <f>70.26+60+1.98</f>
        <v>132.23999999999998</v>
      </c>
      <c r="K55" s="56">
        <f>H55+I55+J55</f>
        <v>269.51</v>
      </c>
      <c r="L55" s="56">
        <f>G55-K55</f>
        <v>1528.07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19.23+60+1.87+72.31</f>
        <v>153.41000000000003</v>
      </c>
      <c r="K58" s="56">
        <f>H58+I58+J58</f>
        <v>308.33000000000004</v>
      </c>
      <c r="L58" s="56">
        <f>G58-K58</f>
        <v>1615.08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09" t="s">
        <v>90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143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102" t="s">
        <v>3</v>
      </c>
      <c r="C69" s="102" t="s">
        <v>92</v>
      </c>
      <c r="D69" s="99" t="s">
        <v>93</v>
      </c>
      <c r="E69" s="112" t="s">
        <v>8</v>
      </c>
      <c r="F69" s="115" t="s">
        <v>94</v>
      </c>
      <c r="G69" s="115" t="s">
        <v>9</v>
      </c>
      <c r="H69" s="102" t="s">
        <v>11</v>
      </c>
      <c r="I69" s="102" t="s">
        <v>95</v>
      </c>
      <c r="J69" s="99" t="s">
        <v>12</v>
      </c>
      <c r="K69" s="99" t="s">
        <v>13</v>
      </c>
      <c r="L69" s="99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100"/>
      <c r="C70" s="100"/>
      <c r="D70" s="100"/>
      <c r="E70" s="113"/>
      <c r="F70" s="100"/>
      <c r="G70" s="100"/>
      <c r="H70" s="100"/>
      <c r="I70" s="100"/>
      <c r="J70" s="100"/>
      <c r="K70" s="100"/>
      <c r="L70" s="100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108"/>
      <c r="C71" s="108"/>
      <c r="D71" s="108"/>
      <c r="E71" s="114"/>
      <c r="F71" s="108"/>
      <c r="G71" s="108"/>
      <c r="H71" s="108"/>
      <c r="I71" s="108"/>
      <c r="J71" s="108"/>
      <c r="K71" s="108"/>
      <c r="L71" s="108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60+1.87+489.1+80.13</f>
        <v>631.1</v>
      </c>
      <c r="K75" s="56">
        <f>H75+I75+J75</f>
        <v>1283.1100000000001</v>
      </c>
      <c r="L75" s="56">
        <f>G75-K75</f>
        <v>2960.07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60+2.09+66.85+26.71</f>
        <v>155.65</v>
      </c>
      <c r="K78" s="56">
        <f>H78+I78+J78</f>
        <v>447.41999999999996</v>
      </c>
      <c r="L78" s="56">
        <f>G78-K78</f>
        <v>2341.52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19.23+60+0.99+101.47</f>
        <v>181.69</v>
      </c>
      <c r="K81" s="56">
        <f>H81+I81+J81</f>
        <v>473.46</v>
      </c>
      <c r="L81" s="56">
        <f>G81-K81</f>
        <v>2315.48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22+26.64+60+2.09+218.73</f>
        <v>329.46</v>
      </c>
      <c r="K85" s="56">
        <f>H85+I85+J85</f>
        <v>597.9</v>
      </c>
      <c r="L85" s="56">
        <f>G85-K85</f>
        <v>2065.62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>
        <v>1424.98</v>
      </c>
      <c r="G88" s="69">
        <f>SUM(B88:F88)</f>
        <v>5557.4220000000005</v>
      </c>
      <c r="H88" s="56">
        <v>414.71</v>
      </c>
      <c r="I88" s="56">
        <v>145.97999999999999</v>
      </c>
      <c r="J88" s="56">
        <f>28.5+60+1.98+26.71</f>
        <v>117.19</v>
      </c>
      <c r="K88" s="56">
        <f>H88+I88+J88</f>
        <v>677.87999999999988</v>
      </c>
      <c r="L88" s="56">
        <f>G88-K88</f>
        <v>4879.5420000000004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2239.25</v>
      </c>
      <c r="C92" s="55"/>
      <c r="D92" s="55"/>
      <c r="E92" s="67"/>
      <c r="F92" s="68"/>
      <c r="G92" s="69">
        <f>SUM(B92:F92)</f>
        <v>2239.25</v>
      </c>
      <c r="H92" s="56">
        <v>211.91</v>
      </c>
      <c r="I92" s="56"/>
      <c r="J92" s="56">
        <f>60+1.43+182.51</f>
        <v>243.94</v>
      </c>
      <c r="K92" s="56">
        <f>H92+I92+J92</f>
        <v>455.85</v>
      </c>
      <c r="L92" s="56">
        <f>G92-K92</f>
        <v>1783.4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60+2.09</f>
        <v>62.09</v>
      </c>
      <c r="K96" s="56">
        <f>H96+I96+J96</f>
        <v>316.31</v>
      </c>
      <c r="L96" s="56">
        <f>G96-K96</f>
        <v>2347.21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60+2.09+182.88+26.71</f>
        <v>271.68</v>
      </c>
      <c r="K100" s="56">
        <f>H100+I100+J100</f>
        <v>511.68</v>
      </c>
      <c r="L100" s="56">
        <f>G100-K100</f>
        <v>2151.84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60+2.09</f>
        <v>62.09</v>
      </c>
      <c r="K104" s="56">
        <f>H104+I104+J104</f>
        <v>330.53</v>
      </c>
      <c r="L104" s="56">
        <f>G104-K104</f>
        <v>2332.9899999999998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57"/>
      <c r="C106" s="57"/>
      <c r="D106" s="57"/>
      <c r="E106" s="70"/>
      <c r="F106" s="79"/>
      <c r="G106" s="66"/>
      <c r="H106" s="54"/>
      <c r="I106" s="54"/>
      <c r="J106" s="54"/>
      <c r="K106" s="54"/>
      <c r="L106" s="54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>
        <v>171.43</v>
      </c>
      <c r="C108" s="55"/>
      <c r="D108" s="55"/>
      <c r="E108" s="67"/>
      <c r="F108" s="68"/>
      <c r="G108" s="69">
        <f>SUM(B108:F108)</f>
        <v>171.43</v>
      </c>
      <c r="H108" s="56"/>
      <c r="I108" s="56"/>
      <c r="J108" s="56"/>
      <c r="K108" s="56">
        <f>H108+I108+J108</f>
        <v>0</v>
      </c>
      <c r="L108" s="56">
        <f>G108-K108</f>
        <v>171.43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3">
    <mergeCell ref="B6:L6"/>
    <mergeCell ref="B82:L82"/>
    <mergeCell ref="A67:L67"/>
    <mergeCell ref="B93:L93"/>
    <mergeCell ref="B105:L105"/>
    <mergeCell ref="B89:L89"/>
    <mergeCell ref="B49:L49"/>
    <mergeCell ref="B97:L97"/>
    <mergeCell ref="B101:L101"/>
    <mergeCell ref="G69:G71"/>
    <mergeCell ref="H69:H71"/>
    <mergeCell ref="I69:I71"/>
    <mergeCell ref="J69:J71"/>
    <mergeCell ref="K69:K71"/>
    <mergeCell ref="L69:L71"/>
    <mergeCell ref="B69:B7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69:C71"/>
    <mergeCell ref="D69:D71"/>
    <mergeCell ref="E69:E71"/>
    <mergeCell ref="F69:F71"/>
    <mergeCell ref="B72:L72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039"/>
  <sheetViews>
    <sheetView zoomScaleNormal="100" workbookViewId="0">
      <selection sqref="A1:L1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109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150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102" t="s">
        <v>3</v>
      </c>
      <c r="C3" s="102" t="s">
        <v>92</v>
      </c>
      <c r="D3" s="99" t="s">
        <v>93</v>
      </c>
      <c r="E3" s="112" t="s">
        <v>8</v>
      </c>
      <c r="F3" s="115" t="s">
        <v>94</v>
      </c>
      <c r="G3" s="115" t="s">
        <v>9</v>
      </c>
      <c r="H3" s="102" t="s">
        <v>11</v>
      </c>
      <c r="I3" s="102" t="s">
        <v>95</v>
      </c>
      <c r="J3" s="99" t="s">
        <v>12</v>
      </c>
      <c r="K3" s="99" t="s">
        <v>13</v>
      </c>
      <c r="L3" s="9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100"/>
      <c r="C4" s="100"/>
      <c r="D4" s="100"/>
      <c r="E4" s="113"/>
      <c r="F4" s="100"/>
      <c r="G4" s="100"/>
      <c r="H4" s="100"/>
      <c r="I4" s="100"/>
      <c r="J4" s="100"/>
      <c r="K4" s="100"/>
      <c r="L4" s="10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108"/>
      <c r="C5" s="108"/>
      <c r="D5" s="108"/>
      <c r="E5" s="114"/>
      <c r="F5" s="108"/>
      <c r="G5" s="108"/>
      <c r="H5" s="108"/>
      <c r="I5" s="108"/>
      <c r="J5" s="108"/>
      <c r="K5" s="108"/>
      <c r="L5" s="10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117" t="s">
        <v>53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f>387.1</f>
        <v>387.1</v>
      </c>
      <c r="C9" s="55">
        <f>111.11+333.33</f>
        <v>444.44</v>
      </c>
      <c r="D9" s="55"/>
      <c r="E9" s="67"/>
      <c r="F9" s="68">
        <v>333.33</v>
      </c>
      <c r="G9" s="69">
        <f>SUM(B9:F9)</f>
        <v>1164.8699999999999</v>
      </c>
      <c r="H9" s="56">
        <f>24.99+28.55</f>
        <v>53.54</v>
      </c>
      <c r="I9" s="56">
        <v>52.83</v>
      </c>
      <c r="J9" s="56">
        <v>6.33</v>
      </c>
      <c r="K9" s="56">
        <f>SUM(H9:J9)</f>
        <v>112.7</v>
      </c>
      <c r="L9" s="56">
        <f>G9-K9</f>
        <v>1052.1699999999998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151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2010.27</v>
      </c>
      <c r="C12" s="55"/>
      <c r="D12" s="55"/>
      <c r="E12" s="67"/>
      <c r="F12" s="68"/>
      <c r="G12" s="69">
        <f>SUM(B12:F12)</f>
        <v>2010.27</v>
      </c>
      <c r="H12" s="56">
        <v>162.74</v>
      </c>
      <c r="I12" s="56"/>
      <c r="J12" s="56">
        <f>66.45+3.02+66.85</f>
        <v>136.32</v>
      </c>
      <c r="K12" s="56">
        <f>SUM(H12:J12)</f>
        <v>299.06</v>
      </c>
      <c r="L12" s="56">
        <f>G12-K12</f>
        <v>1711.21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4097.53</v>
      </c>
      <c r="C15" s="55"/>
      <c r="D15" s="55">
        <v>81.95</v>
      </c>
      <c r="E15" s="67"/>
      <c r="F15" s="68"/>
      <c r="G15" s="69">
        <f>SUM(B15:F15)</f>
        <v>4179.4799999999996</v>
      </c>
      <c r="H15" s="56">
        <v>421.3</v>
      </c>
      <c r="I15" s="56">
        <v>209.46</v>
      </c>
      <c r="J15" s="56">
        <f>66.45+3.64+126.81</f>
        <v>196.9</v>
      </c>
      <c r="K15" s="56">
        <f>H15+I15+J15</f>
        <v>827.66</v>
      </c>
      <c r="L15" s="56">
        <f>G15-K15</f>
        <v>3351.8199999999997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6678.33</v>
      </c>
      <c r="C18" s="55"/>
      <c r="D18" s="55">
        <v>133.56</v>
      </c>
      <c r="E18" s="67">
        <v>3005.25</v>
      </c>
      <c r="F18" s="68"/>
      <c r="G18" s="69">
        <f>SUM(B18:F18)</f>
        <v>9817.14</v>
      </c>
      <c r="H18" s="56">
        <v>828.38</v>
      </c>
      <c r="I18" s="56">
        <v>1498.27</v>
      </c>
      <c r="J18" s="56">
        <f>66.45+3.25+26.71</f>
        <v>96.41</v>
      </c>
      <c r="K18" s="56">
        <f>H18+I18+J18</f>
        <v>2423.06</v>
      </c>
      <c r="L18" s="56">
        <f>G18-K18</f>
        <v>7394.08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66.45+3.64+280.68</f>
        <v>350.77</v>
      </c>
      <c r="K21" s="56">
        <f>H21+I21+J21</f>
        <v>792.06999999999994</v>
      </c>
      <c r="L21" s="56">
        <f>G21-K21</f>
        <v>2786.87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66.45+3.64+602.98+26.71</f>
        <v>699.78000000000009</v>
      </c>
      <c r="K24" s="56">
        <f>SUM(H24:J24)</f>
        <v>843.38000000000011</v>
      </c>
      <c r="L24" s="56">
        <f>G24-K24</f>
        <v>954.19999999999982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4000</v>
      </c>
      <c r="C27" s="56"/>
      <c r="D27" s="56"/>
      <c r="E27" s="69"/>
      <c r="F27" s="74"/>
      <c r="G27" s="69">
        <f>SUM(B27:F27)</f>
        <v>4000</v>
      </c>
      <c r="H27" s="56">
        <v>396.17</v>
      </c>
      <c r="I27" s="59">
        <v>185.77</v>
      </c>
      <c r="J27" s="56">
        <f>84.94+3.52</f>
        <v>88.46</v>
      </c>
      <c r="K27" s="56">
        <f>SUM(H27:J27)</f>
        <v>670.40000000000009</v>
      </c>
      <c r="L27" s="56">
        <f>G27-K27</f>
        <v>3329.6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87">
        <v>1914.73</v>
      </c>
      <c r="G30" s="69">
        <f>SUM(B30:F30)</f>
        <v>5744.1900000000005</v>
      </c>
      <c r="H30" s="56">
        <v>371.58</v>
      </c>
      <c r="I30" s="59">
        <v>163.12</v>
      </c>
      <c r="J30" s="56">
        <f>5.11+66.45+2.05+120.51+53.42</f>
        <v>247.54000000000002</v>
      </c>
      <c r="K30" s="56">
        <f>SUM(H30:J30)</f>
        <v>782.24</v>
      </c>
      <c r="L30" s="56">
        <f>G30-K30</f>
        <v>4961.9500000000007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66.45+3.52</f>
        <v>69.97</v>
      </c>
      <c r="K33" s="56">
        <f>SUM(H33:J33)</f>
        <v>224.89</v>
      </c>
      <c r="L33" s="56">
        <f>G33-K33</f>
        <v>1698.52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338.47</v>
      </c>
      <c r="I36" s="56">
        <v>131.27000000000001</v>
      </c>
      <c r="J36" s="56">
        <f>65.16+3.42+90.21</f>
        <v>158.79</v>
      </c>
      <c r="K36" s="56">
        <f>SUM(H36:J36)</f>
        <v>628.53</v>
      </c>
      <c r="L36" s="56">
        <f>G36-K36</f>
        <v>2950.41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/>
      <c r="G39" s="69">
        <f>SUM(B39:F39)</f>
        <v>1923.41</v>
      </c>
      <c r="H39" s="59">
        <v>154.65</v>
      </c>
      <c r="I39" s="56"/>
      <c r="J39" s="59">
        <f>3.05+66.45+3.62+204.51+26.71</f>
        <v>304.33999999999997</v>
      </c>
      <c r="K39" s="56">
        <f>SUM(H39:J39)</f>
        <v>458.99</v>
      </c>
      <c r="L39" s="56">
        <f>G39-K39</f>
        <v>1464.42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1923.41</v>
      </c>
      <c r="C42" s="55"/>
      <c r="D42" s="55"/>
      <c r="E42" s="67">
        <v>865.53</v>
      </c>
      <c r="F42" s="68"/>
      <c r="G42" s="69">
        <f>SUM(B42:F42)</f>
        <v>2788.94</v>
      </c>
      <c r="H42" s="56">
        <v>243.67</v>
      </c>
      <c r="I42" s="56">
        <v>48.1</v>
      </c>
      <c r="J42" s="56">
        <f>19.23+66.45+2.93+264.17</f>
        <v>352.78000000000003</v>
      </c>
      <c r="K42" s="56">
        <f>H42+I42+J42</f>
        <v>644.54999999999995</v>
      </c>
      <c r="L42" s="56">
        <f>G42-K42</f>
        <v>2144.3900000000003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1365</v>
      </c>
      <c r="C45" s="56">
        <f>961.71+320.57</f>
        <v>1282.28</v>
      </c>
      <c r="D45" s="56"/>
      <c r="E45" s="69"/>
      <c r="F45" s="74"/>
      <c r="G45" s="69">
        <f>SUM(B45:F45)</f>
        <v>2647.2799999999997</v>
      </c>
      <c r="H45" s="56">
        <f>96.16+116.21</f>
        <v>212.37</v>
      </c>
      <c r="I45" s="56"/>
      <c r="J45" s="56">
        <f>66.45+2.45+307.26</f>
        <v>376.15999999999997</v>
      </c>
      <c r="K45" s="56">
        <f>H45+I45+J45</f>
        <v>588.53</v>
      </c>
      <c r="L45" s="56">
        <f>G45-K45</f>
        <v>2058.75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66.45+2.86+133.55</f>
        <v>202.86</v>
      </c>
      <c r="K48" s="56">
        <f>H48+I48+J48</f>
        <v>346.46000000000004</v>
      </c>
      <c r="L48" s="56">
        <f>G48-K48</f>
        <v>1451.12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v>196.9</v>
      </c>
      <c r="K52" s="56">
        <f>H52+I52+J52</f>
        <v>848.91</v>
      </c>
      <c r="L52" s="56">
        <f>G52-K52</f>
        <v>3394.2800000000007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143.6</v>
      </c>
      <c r="I55" s="56"/>
      <c r="J55" s="56">
        <f>66.45+3.47</f>
        <v>69.92</v>
      </c>
      <c r="K55" s="56">
        <f>H55+I55+J55</f>
        <v>213.51999999999998</v>
      </c>
      <c r="L55" s="56">
        <f>G55-K55</f>
        <v>1584.06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19.23+66.45+3.54+602.02</f>
        <v>691.24</v>
      </c>
      <c r="K58" s="56">
        <f>H58+I58+J58</f>
        <v>846.16</v>
      </c>
      <c r="L58" s="56">
        <f>G58-K58</f>
        <v>1077.25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09" t="s">
        <v>90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150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102" t="s">
        <v>3</v>
      </c>
      <c r="C69" s="102" t="s">
        <v>92</v>
      </c>
      <c r="D69" s="99" t="s">
        <v>93</v>
      </c>
      <c r="E69" s="112" t="s">
        <v>8</v>
      </c>
      <c r="F69" s="115" t="s">
        <v>94</v>
      </c>
      <c r="G69" s="115" t="s">
        <v>9</v>
      </c>
      <c r="H69" s="102" t="s">
        <v>11</v>
      </c>
      <c r="I69" s="102" t="s">
        <v>95</v>
      </c>
      <c r="J69" s="99" t="s">
        <v>12</v>
      </c>
      <c r="K69" s="99" t="s">
        <v>13</v>
      </c>
      <c r="L69" s="99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100"/>
      <c r="C70" s="100"/>
      <c r="D70" s="100"/>
      <c r="E70" s="113"/>
      <c r="F70" s="100"/>
      <c r="G70" s="100"/>
      <c r="H70" s="100"/>
      <c r="I70" s="100"/>
      <c r="J70" s="100"/>
      <c r="K70" s="100"/>
      <c r="L70" s="100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108"/>
      <c r="C71" s="108"/>
      <c r="D71" s="108"/>
      <c r="E71" s="114"/>
      <c r="F71" s="108"/>
      <c r="G71" s="108"/>
      <c r="H71" s="108"/>
      <c r="I71" s="108"/>
      <c r="J71" s="108"/>
      <c r="K71" s="108"/>
      <c r="L71" s="108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66.45+3.56+843.3+80.13</f>
        <v>993.43999999999994</v>
      </c>
      <c r="K75" s="56">
        <f>H75+I75+J75</f>
        <v>1645.4499999999998</v>
      </c>
      <c r="L75" s="56">
        <f>G75-K75</f>
        <v>2597.7300000000005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66.45+3.64+77.82+26.71</f>
        <v>174.62</v>
      </c>
      <c r="K78" s="56">
        <f>H78+I78+J78</f>
        <v>466.39</v>
      </c>
      <c r="L78" s="56">
        <f>G78-K78</f>
        <v>2322.5500000000002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19.23+66.45+3.24+296.55</f>
        <v>385.47</v>
      </c>
      <c r="K81" s="56">
        <f>H81+I81+J81</f>
        <v>677.24</v>
      </c>
      <c r="L81" s="56">
        <f>G81-K81</f>
        <v>2111.6999999999998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223.87</v>
      </c>
      <c r="I85" s="56">
        <v>37.21</v>
      </c>
      <c r="J85" s="56">
        <f>26.64+39.51+66.45+3.64+135.61</f>
        <v>271.85000000000002</v>
      </c>
      <c r="K85" s="56">
        <f>H85+I85+J85</f>
        <v>532.93000000000006</v>
      </c>
      <c r="L85" s="56">
        <f>G85-K85</f>
        <v>2130.59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28.5+66.45+3.6+26.71</f>
        <v>125.25999999999999</v>
      </c>
      <c r="K88" s="56">
        <f>H88+I88+J88</f>
        <v>685.94999999999993</v>
      </c>
      <c r="L88" s="56">
        <f>G88-K88</f>
        <v>3446.4920000000002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2482.2199999999998</v>
      </c>
      <c r="C92" s="55"/>
      <c r="D92" s="55"/>
      <c r="E92" s="67"/>
      <c r="F92" s="68"/>
      <c r="G92" s="69">
        <f>SUM(B92:F92)</f>
        <v>2482.2199999999998</v>
      </c>
      <c r="H92" s="56">
        <v>229.66</v>
      </c>
      <c r="I92" s="56">
        <v>26.14</v>
      </c>
      <c r="J92" s="56">
        <f>66.45+2.7+174.57</f>
        <v>243.72</v>
      </c>
      <c r="K92" s="56">
        <f>H92+I92+J92</f>
        <v>499.52</v>
      </c>
      <c r="L92" s="56">
        <f>G92-K92</f>
        <v>1982.6999999999998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66.45+3.64</f>
        <v>70.09</v>
      </c>
      <c r="K96" s="56">
        <f>H96+I96+J96</f>
        <v>324.31</v>
      </c>
      <c r="L96" s="56">
        <f>G96-K96</f>
        <v>2339.21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66.45+3.64+162.58+26.71</f>
        <v>259.38</v>
      </c>
      <c r="K100" s="56">
        <f>H100+I100+J100</f>
        <v>499.38</v>
      </c>
      <c r="L100" s="56">
        <f>G100-K100</f>
        <v>2164.14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66.45+3.62</f>
        <v>70.070000000000007</v>
      </c>
      <c r="K104" s="56">
        <f>H104+I104+J104</f>
        <v>338.51</v>
      </c>
      <c r="L104" s="56">
        <f>G104-K104</f>
        <v>2325.0100000000002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116" t="s">
        <v>152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/>
      <c r="C108" s="55"/>
      <c r="D108" s="55"/>
      <c r="E108" s="67"/>
      <c r="F108" s="68"/>
      <c r="G108" s="69">
        <f>SUM(B108:F108)</f>
        <v>0</v>
      </c>
      <c r="H108" s="56"/>
      <c r="I108" s="56"/>
      <c r="J108" s="56"/>
      <c r="K108" s="56">
        <f>H108+I108+J108</f>
        <v>0</v>
      </c>
      <c r="L108" s="56">
        <f>G108-K108</f>
        <v>0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5">
    <mergeCell ref="B7:L7"/>
    <mergeCell ref="B49:L49"/>
    <mergeCell ref="K3:K5"/>
    <mergeCell ref="L3:L5"/>
    <mergeCell ref="B6:L6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7:L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B101:L101"/>
    <mergeCell ref="B105:L105"/>
    <mergeCell ref="B106:L106"/>
    <mergeCell ref="B72:L72"/>
    <mergeCell ref="B82:L82"/>
    <mergeCell ref="B89:L89"/>
    <mergeCell ref="B93:L93"/>
    <mergeCell ref="B97:L97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MAIO 2019</vt:lpstr>
      <vt:lpstr>JUNHO 2019</vt:lpstr>
      <vt:lpstr>AGOSTO 2019</vt:lpstr>
      <vt:lpstr>SETEMBRO 2019</vt:lpstr>
      <vt:lpstr>OUTUBRO 2019</vt:lpstr>
      <vt:lpstr>NOVEMBRO 2019</vt:lpstr>
      <vt:lpstr>JANEIRO 2022</vt:lpstr>
      <vt:lpstr>FEVEREIRO 2022</vt:lpstr>
      <vt:lpstr>MARÇO 2022</vt:lpstr>
      <vt:lpstr>ABRIL 2022</vt:lpstr>
      <vt:lpstr>MAIO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talita</dc:creator>
  <cp:keywords/>
  <dc:description/>
  <cp:lastModifiedBy>HP</cp:lastModifiedBy>
  <cp:revision/>
  <dcterms:created xsi:type="dcterms:W3CDTF">2015-04-14T13:15:31Z</dcterms:created>
  <dcterms:modified xsi:type="dcterms:W3CDTF">2022-06-02T18:16:35Z</dcterms:modified>
  <cp:category/>
  <cp:contentStatus/>
</cp:coreProperties>
</file>